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31"/>
  <workbookPr/>
  <mc:AlternateContent xmlns:mc="http://schemas.openxmlformats.org/markup-compatibility/2006">
    <mc:Choice Requires="x15">
      <x15ac:absPath xmlns:x15ac="http://schemas.microsoft.com/office/spreadsheetml/2010/11/ac" url="/Users/fiq/Downloads/"/>
    </mc:Choice>
  </mc:AlternateContent>
  <xr:revisionPtr revIDLastSave="0" documentId="13_ncr:1_{396B76E4-057B-9F4E-A4A9-D1145966A0D1}" xr6:coauthVersionLast="47" xr6:coauthVersionMax="47" xr10:uidLastSave="{00000000-0000-0000-0000-000000000000}"/>
  <bookViews>
    <workbookView xWindow="0" yWindow="600" windowWidth="23560" windowHeight="18840" tabRatio="500" activeTab="3" xr2:uid="{00000000-000D-0000-FFFF-FFFF00000000}"/>
  </bookViews>
  <sheets>
    <sheet name="Asumsi" sheetId="1" r:id="rId1"/>
    <sheet name="Detail HPP" sheetId="2" r:id="rId2"/>
    <sheet name="Summary" sheetId="3" r:id="rId3"/>
    <sheet name="Fixed vs Variable Cost" sheetId="4" r:id="rId4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59" i="4" l="1"/>
  <c r="E54" i="4"/>
  <c r="C54" i="4"/>
  <c r="E53" i="4"/>
  <c r="C53" i="4"/>
  <c r="E52" i="4"/>
  <c r="C52" i="4"/>
  <c r="E51" i="4"/>
  <c r="C51" i="4"/>
  <c r="E50" i="4"/>
  <c r="C50" i="4"/>
  <c r="E49" i="4"/>
  <c r="C49" i="4"/>
  <c r="E48" i="4"/>
  <c r="C48" i="4"/>
  <c r="E47" i="4"/>
  <c r="C47" i="4"/>
  <c r="E46" i="4"/>
  <c r="C46" i="4"/>
  <c r="E45" i="4"/>
  <c r="C45" i="4"/>
  <c r="E44" i="4"/>
  <c r="C44" i="4"/>
  <c r="E43" i="4"/>
  <c r="C43" i="4"/>
  <c r="E42" i="4"/>
  <c r="C42" i="4"/>
  <c r="E41" i="4"/>
  <c r="C41" i="4"/>
  <c r="E40" i="4"/>
  <c r="C40" i="4"/>
  <c r="E39" i="4"/>
  <c r="J39" i="4" s="1"/>
  <c r="C39" i="4"/>
  <c r="F24" i="4"/>
  <c r="D33" i="4" s="1"/>
  <c r="F23" i="4"/>
  <c r="D24" i="3"/>
  <c r="C24" i="3"/>
  <c r="C23" i="3"/>
  <c r="D23" i="3" s="1"/>
  <c r="D22" i="3"/>
  <c r="C22" i="3"/>
  <c r="D14" i="3"/>
  <c r="E10" i="3"/>
  <c r="H45" i="2"/>
  <c r="I45" i="2" s="1"/>
  <c r="I46" i="2" s="1"/>
  <c r="D9" i="3" s="1"/>
  <c r="I44" i="2"/>
  <c r="H44" i="2"/>
  <c r="I43" i="2"/>
  <c r="H43" i="2"/>
  <c r="I42" i="2"/>
  <c r="H42" i="2"/>
  <c r="F42" i="2"/>
  <c r="I41" i="2"/>
  <c r="H41" i="2"/>
  <c r="F41" i="2"/>
  <c r="I38" i="2"/>
  <c r="D8" i="3" s="1"/>
  <c r="I37" i="2"/>
  <c r="I36" i="2"/>
  <c r="I35" i="2"/>
  <c r="H35" i="2"/>
  <c r="I34" i="2"/>
  <c r="H34" i="2"/>
  <c r="F34" i="2"/>
  <c r="I31" i="2"/>
  <c r="D7" i="3" s="1"/>
  <c r="I30" i="2"/>
  <c r="I29" i="2"/>
  <c r="I28" i="2"/>
  <c r="I27" i="2"/>
  <c r="I26" i="2"/>
  <c r="I25" i="2"/>
  <c r="I21" i="2"/>
  <c r="H21" i="2"/>
  <c r="F21" i="2"/>
  <c r="H20" i="2"/>
  <c r="F20" i="2"/>
  <c r="I20" i="2" s="1"/>
  <c r="H19" i="2"/>
  <c r="F19" i="2"/>
  <c r="I19" i="2" s="1"/>
  <c r="H18" i="2"/>
  <c r="F18" i="2"/>
  <c r="I18" i="2" s="1"/>
  <c r="H17" i="2"/>
  <c r="I17" i="2" s="1"/>
  <c r="I22" i="2" s="1"/>
  <c r="D6" i="3" s="1"/>
  <c r="F17" i="2"/>
  <c r="I13" i="2"/>
  <c r="H13" i="2"/>
  <c r="H12" i="2"/>
  <c r="I12" i="2" s="1"/>
  <c r="H11" i="2"/>
  <c r="I11" i="2" s="1"/>
  <c r="H10" i="2"/>
  <c r="I10" i="2" s="1"/>
  <c r="I9" i="2"/>
  <c r="H9" i="2"/>
  <c r="H8" i="2"/>
  <c r="I8" i="2" s="1"/>
  <c r="H7" i="2"/>
  <c r="I7" i="2" s="1"/>
  <c r="I14" i="2" s="1"/>
  <c r="E41" i="1"/>
  <c r="E10" i="1"/>
  <c r="I50" i="2" s="1"/>
  <c r="I48" i="2" l="1"/>
  <c r="D5" i="3"/>
  <c r="F61" i="4"/>
  <c r="J40" i="4"/>
  <c r="I51" i="2"/>
  <c r="D16" i="3"/>
  <c r="I52" i="2"/>
  <c r="J54" i="4"/>
  <c r="J48" i="4"/>
  <c r="J41" i="4"/>
  <c r="D31" i="4"/>
  <c r="F39" i="4"/>
  <c r="F40" i="4"/>
  <c r="F41" i="4"/>
  <c r="F46" i="4"/>
  <c r="F47" i="4"/>
  <c r="F48" i="4"/>
  <c r="F49" i="4"/>
  <c r="F54" i="4"/>
  <c r="D32" i="4"/>
  <c r="G39" i="4"/>
  <c r="G40" i="4"/>
  <c r="G41" i="4"/>
  <c r="G42" i="4"/>
  <c r="G43" i="4"/>
  <c r="G44" i="4"/>
  <c r="G45" i="4"/>
  <c r="G46" i="4"/>
  <c r="G47" i="4"/>
  <c r="G48" i="4"/>
  <c r="G49" i="4"/>
  <c r="G50" i="4"/>
  <c r="G51" i="4"/>
  <c r="G52" i="4"/>
  <c r="G53" i="4"/>
  <c r="G54" i="4"/>
  <c r="H39" i="4"/>
  <c r="H40" i="4"/>
  <c r="H46" i="4"/>
  <c r="H47" i="4"/>
  <c r="H48" i="4"/>
  <c r="H54" i="4"/>
  <c r="D34" i="4"/>
  <c r="J47" i="4"/>
  <c r="F25" i="4"/>
  <c r="D29" i="4" s="1"/>
  <c r="B39" i="4"/>
  <c r="D39" i="4" s="1"/>
  <c r="B40" i="4"/>
  <c r="D40" i="4" s="1"/>
  <c r="B41" i="4"/>
  <c r="D41" i="4" s="1"/>
  <c r="H41" i="4" s="1"/>
  <c r="B42" i="4"/>
  <c r="D42" i="4" s="1"/>
  <c r="F42" i="4" s="1"/>
  <c r="B43" i="4"/>
  <c r="D43" i="4" s="1"/>
  <c r="H43" i="4" s="1"/>
  <c r="B44" i="4"/>
  <c r="D44" i="4" s="1"/>
  <c r="J44" i="4" s="1"/>
  <c r="B45" i="4"/>
  <c r="D45" i="4" s="1"/>
  <c r="J45" i="4" s="1"/>
  <c r="B46" i="4"/>
  <c r="D46" i="4" s="1"/>
  <c r="J46" i="4" s="1"/>
  <c r="B47" i="4"/>
  <c r="D47" i="4" s="1"/>
  <c r="B48" i="4"/>
  <c r="D48" i="4" s="1"/>
  <c r="B49" i="4"/>
  <c r="D49" i="4" s="1"/>
  <c r="J49" i="4" s="1"/>
  <c r="B50" i="4"/>
  <c r="D50" i="4" s="1"/>
  <c r="F50" i="4" s="1"/>
  <c r="B51" i="4"/>
  <c r="D51" i="4" s="1"/>
  <c r="H51" i="4" s="1"/>
  <c r="B52" i="4"/>
  <c r="D52" i="4" s="1"/>
  <c r="F52" i="4" s="1"/>
  <c r="B53" i="4"/>
  <c r="D53" i="4" s="1"/>
  <c r="F53" i="4" s="1"/>
  <c r="B54" i="4"/>
  <c r="D54" i="4" s="1"/>
  <c r="F58" i="4"/>
  <c r="J52" i="4" l="1"/>
  <c r="H45" i="4"/>
  <c r="H52" i="4"/>
  <c r="F44" i="4"/>
  <c r="D18" i="3"/>
  <c r="F18" i="3"/>
  <c r="J53" i="4"/>
  <c r="H44" i="4"/>
  <c r="F45" i="4"/>
  <c r="H50" i="4"/>
  <c r="H42" i="4"/>
  <c r="F51" i="4"/>
  <c r="F43" i="4"/>
  <c r="J42" i="4"/>
  <c r="E5" i="3"/>
  <c r="H53" i="4"/>
  <c r="J43" i="4"/>
  <c r="J50" i="4"/>
  <c r="J51" i="4"/>
  <c r="G25" i="4"/>
  <c r="D30" i="4"/>
  <c r="H49" i="4"/>
  <c r="F17" i="3"/>
  <c r="D17" i="3"/>
  <c r="E23" i="3"/>
  <c r="F23" i="3" s="1"/>
  <c r="I49" i="2"/>
  <c r="D15" i="3" s="1"/>
  <c r="D10" i="3"/>
  <c r="E24" i="3"/>
  <c r="F24" i="3" s="1"/>
  <c r="E22" i="3"/>
  <c r="F22" i="3" s="1"/>
  <c r="I53" i="2"/>
  <c r="D19" i="3" l="1"/>
  <c r="F19" i="3"/>
  <c r="E9" i="3"/>
  <c r="E8" i="3"/>
  <c r="E6" i="3"/>
  <c r="E7" i="3"/>
</calcChain>
</file>

<file path=xl/sharedStrings.xml><?xml version="1.0" encoding="utf-8"?>
<sst xmlns="http://schemas.openxmlformats.org/spreadsheetml/2006/main" count="455" uniqueCount="347">
  <si>
    <t>ASUMSI DASAR PERHITUNGAN HPP – KOSFUNDS</t>
  </si>
  <si>
    <t>Platform Digital Manajemen Keuangan | P2MW 2026 | Politeknik WBI</t>
  </si>
  <si>
    <t xml:space="preserve">  ■ Sel kuning = input yang dapat diubah   ■ Teks hijau = formula otomatis   ■ Teks biru = nilai input hardcoded</t>
  </si>
  <si>
    <t>A. ASUMSI PENGGUNA</t>
  </si>
  <si>
    <t>Parameter</t>
  </si>
  <si>
    <t>Nilai</t>
  </si>
  <si>
    <t>Satuan</t>
  </si>
  <si>
    <t>Keterangan</t>
  </si>
  <si>
    <t xml:space="preserve">  A1  Pengguna terdaftar (awal)</t>
  </si>
  <si>
    <t>User</t>
  </si>
  <si>
    <t>Target 1 tahun — MAU=40% dari terdaftar (industri SaaS avg)</t>
  </si>
  <si>
    <t xml:space="preserve">  A2  Pengguna aktif bulanan (MAU)</t>
  </si>
  <si>
    <t>±33% dari terdaftar (industri avg)</t>
  </si>
  <si>
    <t xml:space="preserve">  A3  Rasio konversi premium</t>
  </si>
  <si>
    <t>%</t>
  </si>
  <si>
    <t>5% — acuan freemium (userpilot.com)</t>
  </si>
  <si>
    <t xml:space="preserve">  A4  Pengguna premium/bulan</t>
  </si>
  <si>
    <t>A2 x A3 (formula otomatis)</t>
  </si>
  <si>
    <t xml:space="preserve">  A5  Harga premium/user/bulan</t>
  </si>
  <si>
    <t>Rp</t>
  </si>
  <si>
    <t>Rp20.000 — setara pulsa/kopi</t>
  </si>
  <si>
    <t xml:space="preserve">  A6  Periode perhitungan</t>
  </si>
  <si>
    <t>Bulan</t>
  </si>
  <si>
    <t>Dasar HPP = per bulan</t>
  </si>
  <si>
    <t>B. ASUMSI BIAYA INFRASTRUKTUR</t>
  </si>
  <si>
    <t>Nilai (Rp/bln)</t>
  </si>
  <si>
    <t>Sumber / Catatan</t>
  </si>
  <si>
    <t xml:space="preserve">  B1  Hosting cloud (DigitalOcean Droplet 1GB)</t>
  </si>
  <si>
    <t>Rp/bln</t>
  </si>
  <si>
    <t>DO Droplet $8/bln × Rp16.000</t>
  </si>
  <si>
    <t xml:space="preserve">  B2  Domain .id</t>
  </si>
  <si>
    <t>Rp150.000/th ÷ 12</t>
  </si>
  <si>
    <t xml:space="preserve">  B3  Backup storage (DO Spaces 250GB)</t>
  </si>
  <si>
    <t>$2/bln × Rp16.000</t>
  </si>
  <si>
    <t xml:space="preserve">  B4  CDN (Cloudflare Free Tier)</t>
  </si>
  <si>
    <t>Free tier — 0</t>
  </si>
  <si>
    <t xml:space="preserve">  B5  SSL Certificate (Let's Encrypt)</t>
  </si>
  <si>
    <t>Free — 0</t>
  </si>
  <si>
    <t xml:space="preserve">  B6  Database (Supabase Pro)</t>
  </si>
  <si>
    <t>$6/bln × Rp16.000</t>
  </si>
  <si>
    <t xml:space="preserve">  B7  Monitoring (UptimeRobot Free)</t>
  </si>
  <si>
    <t>C. ASUMSI BIAYA API &amp; AI</t>
  </si>
  <si>
    <t>Kode</t>
  </si>
  <si>
    <t>Catatan</t>
  </si>
  <si>
    <t xml:space="preserve">  C1</t>
  </si>
  <si>
    <t>Req AI Advisor/bulan (Gemini)</t>
  </si>
  <si>
    <t>Request</t>
  </si>
  <si>
    <t>~16 req/hari, fitur gratis</t>
  </si>
  <si>
    <t xml:space="preserve">  C2</t>
  </si>
  <si>
    <t>Biaya per req Gemini (Rp)</t>
  </si>
  <si>
    <t>Rp/req</t>
  </si>
  <si>
    <t>Gemini 1.5 Flash ~$0.0000035/token est.</t>
  </si>
  <si>
    <t xml:space="preserve">  C3</t>
  </si>
  <si>
    <t>Req AI Premium/bulan (OpenAI GPT-4o)</t>
  </si>
  <si>
    <t>User premium only</t>
  </si>
  <si>
    <t xml:space="preserve">  C4</t>
  </si>
  <si>
    <t>Biaya per req OpenAI (Rp)</t>
  </si>
  <si>
    <t>GPT-4o mini ~$0.00003/req est.</t>
  </si>
  <si>
    <t xml:space="preserve">  C5</t>
  </si>
  <si>
    <t>Req OCR Split Bill/bulan</t>
  </si>
  <si>
    <t>Google Vision API</t>
  </si>
  <si>
    <t xml:space="preserve">  C6</t>
  </si>
  <si>
    <t>Biaya per req OCR (Rp)</t>
  </si>
  <si>
    <t>$0.0015/req × Rp16.000</t>
  </si>
  <si>
    <t xml:space="preserve">  C7</t>
  </si>
  <si>
    <t>Email transaksional/bulan</t>
  </si>
  <si>
    <t>Email</t>
  </si>
  <si>
    <t>Notifikasi, reminder</t>
  </si>
  <si>
    <t xml:space="preserve">  C8</t>
  </si>
  <si>
    <t>Biaya per email (Rp)</t>
  </si>
  <si>
    <t>Rp/email</t>
  </si>
  <si>
    <t>Resend free 3.000/bln — 0</t>
  </si>
  <si>
    <t xml:space="preserve">  C9</t>
  </si>
  <si>
    <t>Push notifikasi/bulan</t>
  </si>
  <si>
    <t>Notif</t>
  </si>
  <si>
    <t>Firebase FCM</t>
  </si>
  <si>
    <t xml:space="preserve">  C10</t>
  </si>
  <si>
    <t>Biaya per notif (Rp)</t>
  </si>
  <si>
    <t>Rp/notif</t>
  </si>
  <si>
    <t>FCM free — 0</t>
  </si>
  <si>
    <t>D. ASUMSI SDM &amp; OPERASIONAL</t>
  </si>
  <si>
    <t xml:space="preserve">  D1  Jam kerja pengembangan awal (total)</t>
  </si>
  <si>
    <t>Jam</t>
  </si>
  <si>
    <t>Est. tim 5 orang × 48 jam</t>
  </si>
  <si>
    <t xml:space="preserve">  D2  Tarif ekuivalen/jam (oportunitas)</t>
  </si>
  <si>
    <t>Rp/jam</t>
  </si>
  <si>
    <t>Referensi freelancer junior</t>
  </si>
  <si>
    <t xml:space="preserve">  D3  Total biaya pengembangan awal</t>
  </si>
  <si>
    <t>D1 x D2 - diamortisasi 12 bln</t>
  </si>
  <si>
    <t xml:space="preserve">  D4  Periode amortisasi</t>
  </si>
  <si>
    <t>1 tahun</t>
  </si>
  <si>
    <t xml:space="preserve">  D5  Jumlah anggota tim aktif</t>
  </si>
  <si>
    <t>Orang</t>
  </si>
  <si>
    <t>Sesuai profil tim</t>
  </si>
  <si>
    <t xml:space="preserve">  D6  Biaya internet/orang/bulan</t>
  </si>
  <si>
    <t>Estimasi proporsional</t>
  </si>
  <si>
    <t xml:space="preserve">  D7  Biaya listrik &amp; perangkat (share)</t>
  </si>
  <si>
    <t>Estimasi gabungan</t>
  </si>
  <si>
    <t>E. ASUMSI VALIDASI &amp; PEMASARAN</t>
  </si>
  <si>
    <t xml:space="preserve">  E1  Cetak brosur/leaflet</t>
  </si>
  <si>
    <t>Lembar</t>
  </si>
  <si>
    <t>50 lbr × Rp1.500</t>
  </si>
  <si>
    <t xml:space="preserve">  E2  Biaya cetak per lembar</t>
  </si>
  <si>
    <t>Rp/lbr</t>
  </si>
  <si>
    <t>Harga cetak digital</t>
  </si>
  <si>
    <t xml:space="preserve">  E3  Sesi FGD/wawancara</t>
  </si>
  <si>
    <t>Sesi</t>
  </si>
  <si>
    <t>Per bulan</t>
  </si>
  <si>
    <t xml:space="preserve">  E4  Biaya konsumsi per sesi</t>
  </si>
  <si>
    <t>Rp/sesi</t>
  </si>
  <si>
    <t>Snack + minum</t>
  </si>
  <si>
    <t xml:space="preserve">  E5  Budget iklan sosmed</t>
  </si>
  <si>
    <t>Instagram/TikTok boost</t>
  </si>
  <si>
    <t xml:space="preserve">  E6  Merchandise (stiker/pin)</t>
  </si>
  <si>
    <t>Insentif responden</t>
  </si>
  <si>
    <t xml:space="preserve">  E7  Transportasi lapangan</t>
  </si>
  <si>
    <t>Kunjungan kampus mitra</t>
  </si>
  <si>
    <t>DETAIL HARGA POKOK PRODUKSI (HPP) – KOSFUNDS</t>
  </si>
  <si>
    <t>Semua formula mereferensi sheet 'Asumsi' — ubah asumsi, HPP update otomatis</t>
  </si>
  <si>
    <t xml:space="preserve">  Legenda:  Teks BIRU = input hardcoded  |  Teks HIJAU = formula  |  Teks MERAH = total/kritis  |  Background KUNING = sel penting</t>
  </si>
  <si>
    <t>No</t>
  </si>
  <si>
    <t>Komponen Biaya</t>
  </si>
  <si>
    <t>Dasar Perhitungan</t>
  </si>
  <si>
    <t>Qty</t>
  </si>
  <si>
    <t>Harga Satuan (Rp)</t>
  </si>
  <si>
    <t>Total (Rp/Bln)</t>
  </si>
  <si>
    <t>1. BIAYA INFRASTRUKTUR &amp; HOSTING</t>
  </si>
  <si>
    <t>Cloud Hosting (DigitalOcean 1GB Droplet)</t>
  </si>
  <si>
    <t>Asumsi B1</t>
  </si>
  <si>
    <t>Domain .id (tahunan → bulanan)</t>
  </si>
  <si>
    <t>Asumsi B2</t>
  </si>
  <si>
    <t>Backup Storage (DO Spaces 250GB)</t>
  </si>
  <si>
    <t>Asumsi B3</t>
  </si>
  <si>
    <t>CDN (Cloudflare Free Tier)</t>
  </si>
  <si>
    <t>Asumsi B4 — gratis</t>
  </si>
  <si>
    <t>SSL Certificate (Let's Encrypt)</t>
  </si>
  <si>
    <t>Asumsi B5 — gratis</t>
  </si>
  <si>
    <t>Database (Supabase Pro)</t>
  </si>
  <si>
    <t>Asumsi B6</t>
  </si>
  <si>
    <t>Monitoring (UptimeRobot Free)</t>
  </si>
  <si>
    <t>Asumsi B7 — gratis</t>
  </si>
  <si>
    <t>SUBTOTAL 1 – Infrastruktur</t>
  </si>
  <si>
    <t>2. BIAYA API &amp; LAYANAN AI</t>
  </si>
  <si>
    <t>Gemini API — AI Advisor (fitur gratis)</t>
  </si>
  <si>
    <t>Asumsi C1 req × C2 harga</t>
  </si>
  <si>
    <t>OpenAI GPT-4o mini — AI Premium</t>
  </si>
  <si>
    <t>Asumsi C3 req × C4 harga</t>
  </si>
  <si>
    <t>Google Vision OCR — Split Bill</t>
  </si>
  <si>
    <t>Asumsi C5 req × C6 harga</t>
  </si>
  <si>
    <t>Email Transaksional (Resend Free)</t>
  </si>
  <si>
    <t>Asumsi C7 × C8</t>
  </si>
  <si>
    <t>Push Notifikasi (Firebase FCM Free)</t>
  </si>
  <si>
    <t>Asumsi C9 × C10</t>
  </si>
  <si>
    <t>SUBTOTAL 2 – API &amp; AI</t>
  </si>
  <si>
    <t>3. BIAYA PENGEMBANGAN (AMORTISASI)</t>
  </si>
  <si>
    <t>Biaya Pengembangan Awal (tim internal)</t>
  </si>
  <si>
    <t>Dikapitalisasi sbg Capex — tidak masuk HPP operasional</t>
  </si>
  <si>
    <t>Proyek</t>
  </si>
  <si>
    <t>Amortisasi bulanan pengembangan</t>
  </si>
  <si>
    <t>Total dev ÷ 42 bulan amortisasi</t>
  </si>
  <si>
    <t>Tools Desain UI/UX (Figma Free)</t>
  </si>
  <si>
    <t>Free tier</t>
  </si>
  <si>
    <t>Version Control (GitHub Free)</t>
  </si>
  <si>
    <t>Framework &amp; Library (Next.js, React, Tailwind)</t>
  </si>
  <si>
    <t>Open source — gratis</t>
  </si>
  <si>
    <t>Testing Tools (Playwright Free)</t>
  </si>
  <si>
    <t>SUBTOTAL 3 – Pengembangan (amortisasi/bln)</t>
  </si>
  <si>
    <t>4. BIAYA SDM &amp; OPERASIONAL TIM</t>
  </si>
  <si>
    <t>Internet tim (5 orang)</t>
  </si>
  <si>
    <t>Asumsi D5 orang × D6</t>
  </si>
  <si>
    <t>Listrik &amp; perangkat (estimasi share)</t>
  </si>
  <si>
    <t>Asumsi D7</t>
  </si>
  <si>
    <t>Software produktivitas (Notion Free)</t>
  </si>
  <si>
    <t>Google Workspace (edu — gratis)</t>
  </si>
  <si>
    <t>Free edu license</t>
  </si>
  <si>
    <t>SUBTOTAL 4 – SDM &amp; Operasional</t>
  </si>
  <si>
    <t>5. BIAYA VALIDASI &amp; PEMASARAN</t>
  </si>
  <si>
    <t>Cetak brosur / leaflet sosialisasi kampus</t>
  </si>
  <si>
    <t>Asumsi E1 lbr × E2</t>
  </si>
  <si>
    <t>Konsumsi FGD / wawancara pengguna</t>
  </si>
  <si>
    <t>Asumsi E3 sesi × E4</t>
  </si>
  <si>
    <t>Iklan media sosial (Instagram/TikTok boost)</t>
  </si>
  <si>
    <t>Asumsi E5</t>
  </si>
  <si>
    <t>Merchandise (stiker, pin) — insentif survei</t>
  </si>
  <si>
    <t>Asumsi E6</t>
  </si>
  <si>
    <t>Paket</t>
  </si>
  <si>
    <t>Transportasi lapangan (kunjungan kampus)</t>
  </si>
  <si>
    <t>Asumsi E7</t>
  </si>
  <si>
    <t>SUBTOTAL 5 – Validasi &amp; Pemasaran</t>
  </si>
  <si>
    <t>TOTAL HPP PER BULAN</t>
  </si>
  <si>
    <t>HPP per User Aktif  (Total HPP ÷ MAU)</t>
  </si>
  <si>
    <t>Pendapatan Bulanan  (User Premium × Harga Rp20.000)</t>
  </si>
  <si>
    <t>Laba / Rugi Kotor  (Pendapatan − Total HPP)</t>
  </si>
  <si>
    <t>Gross Margin %  (Laba ÷ Pendapatan)</t>
  </si>
  <si>
    <t>Break-Even User Premium  =  Total HPP ÷ Harga Rp20.000  (minimum user premium agar impas)</t>
  </si>
  <si>
    <t>* Biaya pengembangan awal Rp3.600.000 dikapitalisasi sebagai CAPEX (investasi awal), tidak masuk HPP operasional. BEP: 64 user premium = 3,2% dari MAU 2.000 — sangat realistis dicapai.</t>
  </si>
  <si>
    <t>RINGKASAN HPP &amp; ANALISIS UNIT ECONOMICS – KOSFUNDS</t>
  </si>
  <si>
    <t>Dashboard ringkas untuk reviewer P2MW | semua angka dari sheet Detail HPP</t>
  </si>
  <si>
    <t>A. RINGKASAN KOMPONEN HPP PER BULAN</t>
  </si>
  <si>
    <t>Biaya (Rp/Bln)</t>
  </si>
  <si>
    <t>% dari Total</t>
  </si>
  <si>
    <t>1. Infrastruktur &amp; Hosting</t>
  </si>
  <si>
    <t>Cloud, domain, DB, storage</t>
  </si>
  <si>
    <t>2. API &amp; Layanan AI</t>
  </si>
  <si>
    <t>Gemini, OpenAI, OCR, FCM</t>
  </si>
  <si>
    <t>3. Pengembangan (Amortisasi)</t>
  </si>
  <si>
    <t>240 jam ÷ 12 bulan</t>
  </si>
  <si>
    <t>4. SDM &amp; Operasional Tim</t>
  </si>
  <si>
    <t>Internet + listrik tim</t>
  </si>
  <si>
    <t>5. Validasi &amp; Pemasaran</t>
  </si>
  <si>
    <t>FGD, iklan, merchandise</t>
  </si>
  <si>
    <t>TOTAL HPP / BULAN</t>
  </si>
  <si>
    <t>B. UNIT ECONOMICS</t>
  </si>
  <si>
    <t>Metrik</t>
  </si>
  <si>
    <t>Nilai (Rp)</t>
  </si>
  <si>
    <t>Status</t>
  </si>
  <si>
    <t>Harga Jual per User Premium (Rp)</t>
  </si>
  <si>
    <t>Harga jual ke user premium</t>
  </si>
  <si>
    <t>-</t>
  </si>
  <si>
    <t>HPP per User Aktif (Rp)</t>
  </si>
  <si>
    <t>Total HPP ÷ MAU</t>
  </si>
  <si>
    <t>Pendapatan Bulanan (Rp)</t>
  </si>
  <si>
    <t>User premium × Harga jual</t>
  </si>
  <si>
    <t>Laba / Rugi Kotor (Rp)</t>
  </si>
  <si>
    <t>Pendapatan − Total HPP</t>
  </si>
  <si>
    <t>Gross Margin %</t>
  </si>
  <si>
    <t>Laba ÷ Pendapatan</t>
  </si>
  <si>
    <t>Break-Even User Premium</t>
  </si>
  <si>
    <t>Total HPP ÷ Harga jual</t>
  </si>
  <si>
    <t>C. PROYEKSI PENDAPATAN vs HPP (3 SKENARIO)</t>
  </si>
  <si>
    <t>Skenario</t>
  </si>
  <si>
    <t>Premium User</t>
  </si>
  <si>
    <t>Pendapatan (Rp)</t>
  </si>
  <si>
    <t>Total HPP (Rp)</t>
  </si>
  <si>
    <t>Laba/Rugi (Rp)</t>
  </si>
  <si>
    <t>Konservatif (1% konversi)</t>
  </si>
  <si>
    <t>Moderat (8% konversi — sesuai asumsi)</t>
  </si>
  <si>
    <t>Optimis (15% konversi)</t>
  </si>
  <si>
    <t>* Proyeksi di atas mengasumsikan HPP tetap (fixed cost dominan). Semakin banyak pengguna premium, margin per unit meningkat karena skala ekonomi.</t>
  </si>
  <si>
    <t>ANALISIS FIXED COST vs VARIABLE COST – KOSFUNDS</t>
  </si>
  <si>
    <t>Konsep biaya untuk jasa/platform digital SaaS | Materi Ajar Kewirausahaan</t>
  </si>
  <si>
    <t xml:space="preserve">  KONSEP DASAR: Fixed Cost = biaya yang TIDAK berubah meskipun jumlah pengguna naik/turun. Variable Cost = biaya yang IKUT NAIK seiring bertambahnya pengguna/transaksi.</t>
  </si>
  <si>
    <t>A. KLASIFIKASI BIAYA KOSFUNDS</t>
  </si>
  <si>
    <t>Kategori</t>
  </si>
  <si>
    <t>Biaya/Bulan (Rp)</t>
  </si>
  <si>
    <t>Dasar Variabel</t>
  </si>
  <si>
    <t>Penjelasan</t>
  </si>
  <si>
    <t>Relevansi Materi</t>
  </si>
  <si>
    <t>Cloud Hosting</t>
  </si>
  <si>
    <t>FIXED</t>
  </si>
  <si>
    <t>Biaya server tetap meski user 100 atau 10.000</t>
  </si>
  <si>
    <t>Contoh FC murni</t>
  </si>
  <si>
    <t>Domain .id</t>
  </si>
  <si>
    <t>Dibayar per tahun, tidak tergantung user</t>
  </si>
  <si>
    <t>Backup Storage</t>
  </si>
  <si>
    <t>Kapasitas storage tetap dalam paket</t>
  </si>
  <si>
    <t>CDN (Cloudflare Free)</t>
  </si>
  <si>
    <t>Free tier — batas bandwidth tetap</t>
  </si>
  <si>
    <t>FC = 0 (free tier)</t>
  </si>
  <si>
    <t>SSL Certificate</t>
  </si>
  <si>
    <t>Let's Encrypt gratis, tidak per-user</t>
  </si>
  <si>
    <t>Database (Supabase)</t>
  </si>
  <si>
    <t>Paket bulanan tetap, naik jika upgrade tier</t>
  </si>
  <si>
    <t>Semi-fixed (step cost)</t>
  </si>
  <si>
    <t>Gemini API (AI Advisor)</t>
  </si>
  <si>
    <t>VARIABLE</t>
  </si>
  <si>
    <t>per Request</t>
  </si>
  <si>
    <t>500 req × Rp50 — naik jika user lebih aktif</t>
  </si>
  <si>
    <t>Contoh VC per transaksi</t>
  </si>
  <si>
    <t>OpenAI API (Premium AI)</t>
  </si>
  <si>
    <t>200 req × Rp480 — hanya user premium</t>
  </si>
  <si>
    <t>VC eksklusif fitur premium</t>
  </si>
  <si>
    <t>OCR Split Bill</t>
  </si>
  <si>
    <t>300 req × Rp240 — naik seiring split bill</t>
  </si>
  <si>
    <t>VC per fitur</t>
  </si>
  <si>
    <t>Email Transaksional</t>
  </si>
  <si>
    <t>per Email</t>
  </si>
  <si>
    <t>Free tier 3.000 email/bln — saat ini Rp0</t>
  </si>
  <si>
    <t>VC = 0 dlm free tier</t>
  </si>
  <si>
    <t>Push Notifikasi (FCM)</t>
  </si>
  <si>
    <t>per Notif</t>
  </si>
  <si>
    <t>Firebase gratis — VC = 0</t>
  </si>
  <si>
    <t>Internet Tim (5 orang)</t>
  </si>
  <si>
    <t>Biaya tim tetap tiap bulan</t>
  </si>
  <si>
    <t>FC overhead tim</t>
  </si>
  <si>
    <t>Listrik &amp; Perangkat</t>
  </si>
  <si>
    <t>Tidak tergantung jumlah user</t>
  </si>
  <si>
    <t>Iklan Media Sosial</t>
  </si>
  <si>
    <t>Budget bulanan tetap (bisa jadi VC jika per-klik)</t>
  </si>
  <si>
    <t>FC atau VC tgt strategi</t>
  </si>
  <si>
    <t>Brosur &amp; FGD</t>
  </si>
  <si>
    <t>Biaya validasi/bulan relatif tetap</t>
  </si>
  <si>
    <t>FC program</t>
  </si>
  <si>
    <t>Merchandise &amp; Transport</t>
  </si>
  <si>
    <t>Anggaran tetap per siklus validasi</t>
  </si>
  <si>
    <t>TOTAL FIXED COST / BULAN</t>
  </si>
  <si>
    <t>Tidak berubah berapapun jumlah user</t>
  </si>
  <si>
    <t>TOTAL VARIABLE COST / BULAN (asumsi saat ini)</t>
  </si>
  <si>
    <t>Naik jika jumlah request/transaksi bertambah</t>
  </si>
  <si>
    <t>TOTAL HPP (FC + VC)</t>
  </si>
  <si>
    <t>B. RASIO &amp; IMPLIKASI BIAYA</t>
  </si>
  <si>
    <t>Formula</t>
  </si>
  <si>
    <t>Interpretasi untuk Mahasiswa</t>
  </si>
  <si>
    <t>Implikasi Bisnis</t>
  </si>
  <si>
    <t>Proporsi Fixed Cost</t>
  </si>
  <si>
    <t>FC ÷ Total HPP</t>
  </si>
  <si>
    <t>Makin tinggi proporsi FC → bisnis butuh volume user tinggi untuk BEP</t>
  </si>
  <si>
    <t>Proporsi Variable Cost</t>
  </si>
  <si>
    <t>VC ÷ Total HPP</t>
  </si>
  <si>
    <t>VC rendah = ciri khas SaaS yang sehat → margin meningkat seiring skala</t>
  </si>
  <si>
    <t>VC per User Aktif</t>
  </si>
  <si>
    <t>Total VC ÷ MAU</t>
  </si>
  <si>
    <t>Biaya variabel yang harus ditanggung per user aktif</t>
  </si>
  <si>
    <t>VC per User Premium</t>
  </si>
  <si>
    <t>Total VC ÷ Premium User</t>
  </si>
  <si>
    <t>Berapa VC yang secara langsung dipicu user premium</t>
  </si>
  <si>
    <t>Contribution Margin/user</t>
  </si>
  <si>
    <t>Harga − VC per premium user</t>
  </si>
  <si>
    <t>Sisa harga setelah tutup VC — untuk menutup FC dan menghasilkan laba</t>
  </si>
  <si>
    <t>Operating Leverage</t>
  </si>
  <si>
    <t>FC ÷ Total Cost</t>
  </si>
  <si>
    <t>Makin tinggi → risiko lebih besar saat volume rendah, tapi profit melejit saat volume tinggi</t>
  </si>
  <si>
    <t>C. SIMULASI BREAK-EVEN POINT — DATA UNTUK GRAFIK</t>
  </si>
  <si>
    <t xml:space="preserve">  Tabel ini menunjukkan: pada berapa user premium, total pendapatan = total HPP (titik impas). Variable cost diasumsikan naik Rp1.000/user premium tambahan (lebih banyak AI request).</t>
  </si>
  <si>
    <t>User Premium</t>
  </si>
  <si>
    <t>Fixed Cost (Rp)</t>
  </si>
  <si>
    <t>Variable Cost (Rp)</t>
  </si>
  <si>
    <t>Laba / Rugi (Rp)</t>
  </si>
  <si>
    <t>Contribution Margin (Rp)</t>
  </si>
  <si>
    <t>GM %</t>
  </si>
  <si>
    <t>D. RUMUS &amp; KONSEP KUNCI UNTUK MAHASISWA</t>
  </si>
  <si>
    <t>Konsep</t>
  </si>
  <si>
    <t>Rumus/Formula</t>
  </si>
  <si>
    <t>Nilai Kosfunds</t>
  </si>
  <si>
    <t>Rumus BEP (unit)</t>
  </si>
  <si>
    <t>BEP = Fixed Cost ÷ (Harga Jual − Variable Cost per unit)</t>
  </si>
  <si>
    <t>Titik di mana pendapatan = total biaya (laba = 0)</t>
  </si>
  <si>
    <t>Contribution Margin per Unit</t>
  </si>
  <si>
    <t>CM = Harga Jual − Variable Cost per unit</t>
  </si>
  <si>
    <t>Setiap unit terjual berkontribusi sebesar CM untuk menutup FC</t>
  </si>
  <si>
    <t>Operating Leverage Effect</t>
  </si>
  <si>
    <t>Saat revenue naik 2x, profit naik lebih dari 2x karena FC tetap</t>
  </si>
  <si>
    <t>"Ciri khas bisnis SaaS/digital dengan FC dominan"</t>
  </si>
  <si>
    <t>Inilah alasan startup digital bisa sangat profitable di skala besar</t>
  </si>
  <si>
    <t>Margin of Safety</t>
  </si>
  <si>
    <t>MoS = (Pendapatan aktual − BEP revenue) ÷ Pendapatan aktual</t>
  </si>
  <si>
    <t>Seberapa jauh kita dari titik rugi — makin besar makin aman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</si>
</sst>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0" x14ac:knownFonts="1">
    <font>
      <sz val="11"/>
      <color theme="1"/>
      <name val="Calibri"/>
      <family val="2"/>
      <charset val="1"/>
    </font>
    <font>
      <b/>
      <sz val="14"/>
      <color rgb="FFFFFFFF"/>
      <name val="Arial"/>
      <family val="2"/>
    </font>
    <font>
      <sz val="10"/>
      <color rgb="FFFFFFFF"/>
      <name val="Arial"/>
      <family val="2"/>
    </font>
    <font>
      <i/>
      <sz val="9"/>
      <color rgb="FF1F3864"/>
      <name val="Arial"/>
      <family val="2"/>
    </font>
    <font>
      <b/>
      <sz val="10"/>
      <color rgb="FFFFFFFF"/>
      <name val="Arial"/>
      <family val="2"/>
    </font>
    <font>
      <sz val="10"/>
      <color rgb="FF000000"/>
      <name val="Arial"/>
      <family val="2"/>
    </font>
    <font>
      <sz val="10"/>
      <color rgb="FF0000FF"/>
      <name val="Arial"/>
      <family val="2"/>
    </font>
    <font>
      <sz val="9"/>
      <color rgb="FF000000"/>
      <name val="Arial"/>
      <family val="2"/>
    </font>
    <font>
      <i/>
      <sz val="9"/>
      <color rgb="FF000000"/>
      <name val="Arial"/>
      <family val="2"/>
    </font>
    <font>
      <sz val="10"/>
      <color rgb="FF375623"/>
      <name val="Arial"/>
      <family val="2"/>
    </font>
    <font>
      <i/>
      <sz val="9"/>
      <color rgb="FF555555"/>
      <name val="Arial"/>
      <family val="2"/>
    </font>
    <font>
      <b/>
      <sz val="10"/>
      <color rgb="FF1F3864"/>
      <name val="Arial"/>
      <family val="2"/>
    </font>
    <font>
      <b/>
      <sz val="10"/>
      <color rgb="FF375623"/>
      <name val="Arial"/>
      <family val="2"/>
    </font>
    <font>
      <b/>
      <sz val="11"/>
      <color rgb="FFFFFFFF"/>
      <name val="Arial"/>
      <family val="2"/>
    </font>
    <font>
      <sz val="10"/>
      <color rgb="FF1F3864"/>
      <name val="Arial"/>
      <family val="2"/>
    </font>
    <font>
      <i/>
      <sz val="9"/>
      <color rgb="FF444444"/>
      <name val="Arial"/>
      <family val="2"/>
    </font>
    <font>
      <b/>
      <sz val="9"/>
      <color rgb="FF1E6B2E"/>
      <name val="Arial"/>
      <family val="2"/>
    </font>
    <font>
      <b/>
      <sz val="9"/>
      <color rgb="FF2E75B6"/>
      <name val="Arial"/>
      <family val="2"/>
    </font>
    <font>
      <b/>
      <sz val="10"/>
      <color rgb="FF000000"/>
      <name val="Arial"/>
      <family val="2"/>
    </font>
    <font>
      <i/>
      <sz val="9"/>
      <color rgb="FF666666"/>
      <name val="Arial"/>
      <family val="2"/>
    </font>
    <font>
      <i/>
      <sz val="10"/>
      <color rgb="FF1F3864"/>
      <name val="Arial"/>
      <family val="2"/>
    </font>
    <font>
      <sz val="9"/>
      <color rgb="FF1F3864"/>
      <name val="Arial"/>
      <family val="2"/>
    </font>
    <font>
      <sz val="9"/>
      <color rgb="FF2E75B6"/>
      <name val="Arial"/>
      <family val="2"/>
    </font>
    <font>
      <b/>
      <sz val="9"/>
      <color rgb="FFC55A11"/>
      <name val="Arial"/>
      <family val="2"/>
    </font>
    <font>
      <b/>
      <i/>
      <sz val="9"/>
      <color rgb="FFFFFFFF"/>
      <name val="Arial"/>
      <family val="2"/>
    </font>
    <font>
      <sz val="9"/>
      <color rgb="FFFFFFFF"/>
      <name val="Arial"/>
      <family val="2"/>
    </font>
    <font>
      <sz val="9"/>
      <color rgb="FF333333"/>
      <name val="Arial"/>
      <family val="2"/>
    </font>
    <font>
      <b/>
      <sz val="10"/>
      <color rgb="FF7030A0"/>
      <name val="Arial"/>
      <family val="2"/>
    </font>
    <font>
      <i/>
      <sz val="9"/>
      <color rgb="FF333333"/>
      <name val="Arial"/>
      <family val="2"/>
    </font>
    <font>
      <sz val="9"/>
      <color rgb="FF375623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rgb="FF1F3864"/>
        <bgColor rgb="FF333333"/>
      </patternFill>
    </fill>
    <fill>
      <patternFill patternType="solid">
        <fgColor rgb="FF2E75B6"/>
        <bgColor rgb="FF0066CC"/>
      </patternFill>
    </fill>
    <fill>
      <patternFill patternType="solid">
        <fgColor rgb="FFDEEAF1"/>
        <bgColor rgb="FFE2EFDA"/>
      </patternFill>
    </fill>
    <fill>
      <patternFill patternType="solid">
        <fgColor rgb="FFFFF2CC"/>
        <bgColor rgb="FFFCE4D6"/>
      </patternFill>
    </fill>
    <fill>
      <patternFill patternType="solid">
        <fgColor rgb="FFF2F2F2"/>
        <bgColor rgb="FFE2EFDA"/>
      </patternFill>
    </fill>
    <fill>
      <patternFill patternType="solid">
        <fgColor rgb="FFFFFFFF"/>
        <bgColor rgb="FFF2F2F2"/>
      </patternFill>
    </fill>
    <fill>
      <patternFill patternType="solid">
        <fgColor rgb="FFBDD7EE"/>
        <bgColor rgb="FFD9D9D9"/>
      </patternFill>
    </fill>
    <fill>
      <patternFill patternType="solid">
        <fgColor rgb="FFC00000"/>
        <bgColor rgb="FF800000"/>
      </patternFill>
    </fill>
    <fill>
      <patternFill patternType="solid">
        <fgColor rgb="FF1E6B2E"/>
        <bgColor rgb="FF375623"/>
      </patternFill>
    </fill>
    <fill>
      <patternFill patternType="solid">
        <fgColor rgb="FFE2EFDA"/>
        <bgColor rgb="FFDEEAF1"/>
      </patternFill>
    </fill>
    <fill>
      <patternFill patternType="solid">
        <fgColor rgb="FFFCE4D6"/>
        <bgColor rgb="FFFFF2CC"/>
      </patternFill>
    </fill>
    <fill>
      <patternFill patternType="solid">
        <fgColor rgb="FFC55A11"/>
        <bgColor rgb="FF993300"/>
      </patternFill>
    </fill>
    <fill>
      <patternFill patternType="solid">
        <fgColor rgb="FF7030A0"/>
        <bgColor rgb="FF993366"/>
      </patternFill>
    </fill>
  </fills>
  <borders count="6">
    <border>
      <left/>
      <right/>
      <top/>
      <bottom/>
      <diagonal/>
    </border>
    <border>
      <left style="thin">
        <color rgb="FFAAAAAA"/>
      </left>
      <right/>
      <top style="thin">
        <color rgb="FFAAAAAA"/>
      </top>
      <bottom style="thin">
        <color rgb="FFAAAAAA"/>
      </bottom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AAAAAA"/>
      </left>
      <right style="medium">
        <color auto="1"/>
      </right>
      <top style="thin">
        <color rgb="FFAAAAAA"/>
      </top>
      <bottom style="thin">
        <color rgb="FFAAAAAA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07">
    <xf numFmtId="0" fontId="0" fillId="0" borderId="0" xfId="0"/>
    <xf numFmtId="0" fontId="11" fillId="8" borderId="1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left" vertical="center" wrapText="1"/>
    </xf>
    <xf numFmtId="0" fontId="5" fillId="7" borderId="1" xfId="0" applyFont="1" applyFill="1" applyBorder="1" applyAlignment="1">
      <alignment horizontal="left" vertical="center" wrapText="1"/>
    </xf>
    <xf numFmtId="0" fontId="8" fillId="6" borderId="1" xfId="0" applyFont="1" applyFill="1" applyBorder="1" applyAlignment="1">
      <alignment horizontal="left" vertical="center"/>
    </xf>
    <xf numFmtId="0" fontId="5" fillId="6" borderId="1" xfId="0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8" fillId="5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3" fontId="6" fillId="5" borderId="2" xfId="0" applyNumberFormat="1" applyFont="1" applyFill="1" applyBorder="1" applyAlignment="1">
      <alignment horizontal="right" vertical="center"/>
    </xf>
    <xf numFmtId="0" fontId="7" fillId="5" borderId="2" xfId="0" applyFont="1" applyFill="1" applyBorder="1" applyAlignment="1">
      <alignment horizontal="center" vertical="center"/>
    </xf>
    <xf numFmtId="164" fontId="6" fillId="5" borderId="2" xfId="0" applyNumberFormat="1" applyFont="1" applyFill="1" applyBorder="1" applyAlignment="1">
      <alignment horizontal="right" vertical="center"/>
    </xf>
    <xf numFmtId="3" fontId="9" fillId="4" borderId="2" xfId="0" applyNumberFormat="1" applyFont="1" applyFill="1" applyBorder="1" applyAlignment="1">
      <alignment horizontal="right" vertical="center"/>
    </xf>
    <xf numFmtId="0" fontId="7" fillId="4" borderId="2" xfId="0" applyFont="1" applyFill="1" applyBorder="1" applyAlignment="1">
      <alignment horizontal="center" vertical="center"/>
    </xf>
    <xf numFmtId="3" fontId="6" fillId="6" borderId="2" xfId="0" applyNumberFormat="1" applyFont="1" applyFill="1" applyBorder="1" applyAlignment="1">
      <alignment horizontal="right" vertical="center"/>
    </xf>
    <xf numFmtId="0" fontId="7" fillId="6" borderId="2" xfId="0" applyFont="1" applyFill="1" applyBorder="1" applyAlignment="1">
      <alignment horizontal="center" vertical="center"/>
    </xf>
    <xf numFmtId="0" fontId="5" fillId="7" borderId="2" xfId="0" applyFont="1" applyFill="1" applyBorder="1" applyAlignment="1">
      <alignment horizontal="center" vertical="center"/>
    </xf>
    <xf numFmtId="0" fontId="10" fillId="7" borderId="2" xfId="0" applyFont="1" applyFill="1" applyBorder="1" applyAlignment="1">
      <alignment horizontal="left" vertical="center" wrapText="1"/>
    </xf>
    <xf numFmtId="3" fontId="6" fillId="7" borderId="2" xfId="0" applyNumberFormat="1" applyFont="1" applyFill="1" applyBorder="1" applyAlignment="1">
      <alignment horizontal="right" vertical="center"/>
    </xf>
    <xf numFmtId="0" fontId="7" fillId="7" borderId="2" xfId="0" applyFont="1" applyFill="1" applyBorder="1" applyAlignment="1">
      <alignment horizontal="center" vertical="center"/>
    </xf>
    <xf numFmtId="3" fontId="9" fillId="7" borderId="2" xfId="0" applyNumberFormat="1" applyFont="1" applyFill="1" applyBorder="1" applyAlignment="1">
      <alignment horizontal="right" vertical="center"/>
    </xf>
    <xf numFmtId="0" fontId="5" fillId="4" borderId="2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left" vertical="center" wrapText="1"/>
    </xf>
    <xf numFmtId="3" fontId="6" fillId="4" borderId="2" xfId="0" applyNumberFormat="1" applyFont="1" applyFill="1" applyBorder="1" applyAlignment="1">
      <alignment horizontal="right" vertical="center"/>
    </xf>
    <xf numFmtId="3" fontId="12" fillId="8" borderId="2" xfId="0" applyNumberFormat="1" applyFont="1" applyFill="1" applyBorder="1" applyAlignment="1">
      <alignment horizontal="right" vertical="center"/>
    </xf>
    <xf numFmtId="3" fontId="13" fillId="9" borderId="3" xfId="0" applyNumberFormat="1" applyFont="1" applyFill="1" applyBorder="1" applyAlignment="1">
      <alignment horizontal="right" vertical="center"/>
    </xf>
    <xf numFmtId="3" fontId="9" fillId="8" borderId="2" xfId="0" applyNumberFormat="1" applyFont="1" applyFill="1" applyBorder="1" applyAlignment="1">
      <alignment horizontal="right" vertical="center"/>
    </xf>
    <xf numFmtId="3" fontId="13" fillId="10" borderId="3" xfId="0" applyNumberFormat="1" applyFont="1" applyFill="1" applyBorder="1" applyAlignment="1">
      <alignment horizontal="right" vertical="center"/>
    </xf>
    <xf numFmtId="164" fontId="13" fillId="10" borderId="3" xfId="0" applyNumberFormat="1" applyFont="1" applyFill="1" applyBorder="1" applyAlignment="1">
      <alignment horizontal="right" vertical="center"/>
    </xf>
    <xf numFmtId="3" fontId="12" fillId="4" borderId="2" xfId="0" applyNumberFormat="1" applyFont="1" applyFill="1" applyBorder="1" applyAlignment="1">
      <alignment horizontal="right" vertical="center"/>
    </xf>
    <xf numFmtId="164" fontId="9" fillId="4" borderId="2" xfId="0" applyNumberFormat="1" applyFont="1" applyFill="1" applyBorder="1" applyAlignment="1">
      <alignment horizontal="right" vertical="center"/>
    </xf>
    <xf numFmtId="0" fontId="10" fillId="4" borderId="2" xfId="0" applyFont="1" applyFill="1" applyBorder="1" applyAlignment="1">
      <alignment horizontal="left" vertical="center"/>
    </xf>
    <xf numFmtId="164" fontId="9" fillId="7" borderId="2" xfId="0" applyNumberFormat="1" applyFont="1" applyFill="1" applyBorder="1" applyAlignment="1">
      <alignment horizontal="right" vertical="center"/>
    </xf>
    <xf numFmtId="0" fontId="10" fillId="7" borderId="2" xfId="0" applyFont="1" applyFill="1" applyBorder="1" applyAlignment="1">
      <alignment horizontal="left" vertical="center"/>
    </xf>
    <xf numFmtId="3" fontId="13" fillId="9" borderId="2" xfId="0" applyNumberFormat="1" applyFont="1" applyFill="1" applyBorder="1" applyAlignment="1">
      <alignment horizontal="right" vertical="center"/>
    </xf>
    <xf numFmtId="164" fontId="13" fillId="9" borderId="2" xfId="0" applyNumberFormat="1" applyFont="1" applyFill="1" applyBorder="1" applyAlignment="1">
      <alignment horizontal="right" vertical="center"/>
    </xf>
    <xf numFmtId="0" fontId="5" fillId="9" borderId="2" xfId="0" applyFont="1" applyFill="1" applyBorder="1" applyAlignment="1">
      <alignment horizontal="left" vertical="center"/>
    </xf>
    <xf numFmtId="3" fontId="12" fillId="5" borderId="2" xfId="0" applyNumberFormat="1" applyFont="1" applyFill="1" applyBorder="1" applyAlignment="1">
      <alignment horizontal="right" vertical="center"/>
    </xf>
    <xf numFmtId="0" fontId="10" fillId="5" borderId="2" xfId="0" applyFont="1" applyFill="1" applyBorder="1" applyAlignment="1">
      <alignment horizontal="left" vertical="center"/>
    </xf>
    <xf numFmtId="0" fontId="5" fillId="5" borderId="2" xfId="0" applyFont="1" applyFill="1" applyBorder="1" applyAlignment="1">
      <alignment horizontal="center" vertical="center"/>
    </xf>
    <xf numFmtId="0" fontId="16" fillId="4" borderId="2" xfId="0" applyFont="1" applyFill="1" applyBorder="1" applyAlignment="1">
      <alignment horizontal="center" vertical="center" wrapText="1"/>
    </xf>
    <xf numFmtId="164" fontId="12" fillId="4" borderId="2" xfId="0" applyNumberFormat="1" applyFont="1" applyFill="1" applyBorder="1" applyAlignment="1">
      <alignment horizontal="right" vertical="center"/>
    </xf>
    <xf numFmtId="0" fontId="10" fillId="8" borderId="2" xfId="0" applyFont="1" applyFill="1" applyBorder="1" applyAlignment="1">
      <alignment horizontal="left" vertical="center"/>
    </xf>
    <xf numFmtId="0" fontId="17" fillId="4" borderId="2" xfId="0" applyFont="1" applyFill="1" applyBorder="1" applyAlignment="1">
      <alignment horizontal="center" vertical="center" wrapText="1"/>
    </xf>
    <xf numFmtId="3" fontId="9" fillId="5" borderId="2" xfId="0" applyNumberFormat="1" applyFont="1" applyFill="1" applyBorder="1" applyAlignment="1">
      <alignment horizontal="right" vertical="center"/>
    </xf>
    <xf numFmtId="0" fontId="21" fillId="7" borderId="2" xfId="0" applyFont="1" applyFill="1" applyBorder="1" applyAlignment="1">
      <alignment horizontal="center" vertical="center"/>
    </xf>
    <xf numFmtId="0" fontId="16" fillId="11" borderId="2" xfId="0" applyFont="1" applyFill="1" applyBorder="1" applyAlignment="1">
      <alignment horizontal="center" vertical="center"/>
    </xf>
    <xf numFmtId="0" fontId="19" fillId="7" borderId="2" xfId="0" applyFont="1" applyFill="1" applyBorder="1" applyAlignment="1">
      <alignment horizontal="center" vertical="center"/>
    </xf>
    <xf numFmtId="0" fontId="22" fillId="7" borderId="2" xfId="0" applyFont="1" applyFill="1" applyBorder="1" applyAlignment="1">
      <alignment horizontal="left" vertical="center" wrapText="1"/>
    </xf>
    <xf numFmtId="0" fontId="21" fillId="4" borderId="2" xfId="0" applyFont="1" applyFill="1" applyBorder="1" applyAlignment="1">
      <alignment horizontal="center" vertical="center"/>
    </xf>
    <xf numFmtId="0" fontId="19" fillId="4" borderId="2" xfId="0" applyFont="1" applyFill="1" applyBorder="1" applyAlignment="1">
      <alignment horizontal="center" vertical="center"/>
    </xf>
    <xf numFmtId="0" fontId="22" fillId="4" borderId="2" xfId="0" applyFont="1" applyFill="1" applyBorder="1" applyAlignment="1">
      <alignment horizontal="left" vertical="center" wrapText="1"/>
    </xf>
    <xf numFmtId="0" fontId="23" fillId="12" borderId="2" xfId="0" applyFont="1" applyFill="1" applyBorder="1" applyAlignment="1">
      <alignment horizontal="center" vertical="center"/>
    </xf>
    <xf numFmtId="3" fontId="4" fillId="10" borderId="2" xfId="0" applyNumberFormat="1" applyFont="1" applyFill="1" applyBorder="1" applyAlignment="1">
      <alignment horizontal="right" vertical="center"/>
    </xf>
    <xf numFmtId="3" fontId="4" fillId="13" borderId="2" xfId="0" applyNumberFormat="1" applyFont="1" applyFill="1" applyBorder="1" applyAlignment="1">
      <alignment horizontal="right" vertical="center"/>
    </xf>
    <xf numFmtId="0" fontId="19" fillId="5" borderId="2" xfId="0" applyFont="1" applyFill="1" applyBorder="1" applyAlignment="1">
      <alignment horizontal="center" vertical="center"/>
    </xf>
    <xf numFmtId="164" fontId="9" fillId="5" borderId="2" xfId="0" applyNumberFormat="1" applyFont="1" applyFill="1" applyBorder="1" applyAlignment="1">
      <alignment horizontal="right" vertical="center"/>
    </xf>
    <xf numFmtId="0" fontId="13" fillId="9" borderId="3" xfId="0" applyFont="1" applyFill="1" applyBorder="1" applyAlignment="1">
      <alignment horizontal="right" vertical="center" wrapText="1"/>
    </xf>
    <xf numFmtId="0" fontId="14" fillId="8" borderId="2" xfId="0" applyFont="1" applyFill="1" applyBorder="1" applyAlignment="1">
      <alignment horizontal="right" vertical="center" wrapText="1"/>
    </xf>
    <xf numFmtId="0" fontId="13" fillId="10" borderId="3" xfId="0" applyFont="1" applyFill="1" applyBorder="1" applyAlignment="1">
      <alignment horizontal="right" vertical="center" wrapText="1"/>
    </xf>
    <xf numFmtId="0" fontId="15" fillId="4" borderId="2" xfId="0" applyFont="1" applyFill="1" applyBorder="1" applyAlignment="1">
      <alignment horizontal="left" vertical="center" wrapText="1"/>
    </xf>
    <xf numFmtId="0" fontId="15" fillId="4" borderId="0" xfId="0" applyFont="1" applyFill="1" applyAlignment="1">
      <alignment horizontal="left" vertical="center" wrapText="1"/>
    </xf>
    <xf numFmtId="0" fontId="5" fillId="7" borderId="1" xfId="0" applyFont="1" applyFill="1" applyBorder="1" applyAlignment="1">
      <alignment horizontal="left" vertical="center"/>
    </xf>
    <xf numFmtId="0" fontId="13" fillId="9" borderId="1" xfId="0" applyFont="1" applyFill="1" applyBorder="1" applyAlignment="1">
      <alignment horizontal="right" vertical="center"/>
    </xf>
    <xf numFmtId="0" fontId="11" fillId="5" borderId="2" xfId="0" applyFont="1" applyFill="1" applyBorder="1" applyAlignment="1">
      <alignment horizontal="left" vertical="center"/>
    </xf>
    <xf numFmtId="0" fontId="14" fillId="7" borderId="2" xfId="0" applyFont="1" applyFill="1" applyBorder="1" applyAlignment="1">
      <alignment horizontal="left" vertical="center"/>
    </xf>
    <xf numFmtId="0" fontId="14" fillId="7" borderId="1" xfId="0" applyFont="1" applyFill="1" applyBorder="1" applyAlignment="1">
      <alignment horizontal="left" vertical="center"/>
    </xf>
    <xf numFmtId="0" fontId="11" fillId="4" borderId="4" xfId="0" applyFont="1" applyFill="1" applyBorder="1" applyAlignment="1">
      <alignment horizontal="left" vertical="center"/>
    </xf>
    <xf numFmtId="0" fontId="14" fillId="8" borderId="1" xfId="0" applyFont="1" applyFill="1" applyBorder="1" applyAlignment="1">
      <alignment horizontal="left" vertical="center"/>
    </xf>
    <xf numFmtId="0" fontId="18" fillId="4" borderId="1" xfId="0" applyFont="1" applyFill="1" applyBorder="1" applyAlignment="1">
      <alignment horizontal="left" vertical="center"/>
    </xf>
    <xf numFmtId="0" fontId="18" fillId="5" borderId="1" xfId="0" applyFont="1" applyFill="1" applyBorder="1" applyAlignment="1">
      <alignment horizontal="left" vertical="center"/>
    </xf>
    <xf numFmtId="0" fontId="18" fillId="8" borderId="1" xfId="0" applyFont="1" applyFill="1" applyBorder="1" applyAlignment="1">
      <alignment horizontal="left" vertical="center"/>
    </xf>
    <xf numFmtId="0" fontId="19" fillId="4" borderId="1" xfId="0" applyFont="1" applyFill="1" applyBorder="1" applyAlignment="1">
      <alignment horizontal="left" vertical="center"/>
    </xf>
    <xf numFmtId="0" fontId="20" fillId="4" borderId="1" xfId="0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left" vertical="center"/>
    </xf>
    <xf numFmtId="0" fontId="15" fillId="7" borderId="1" xfId="0" applyFont="1" applyFill="1" applyBorder="1" applyAlignment="1">
      <alignment horizontal="left" vertical="center" wrapText="1"/>
    </xf>
    <xf numFmtId="0" fontId="14" fillId="4" borderId="1" xfId="0" applyFont="1" applyFill="1" applyBorder="1" applyAlignment="1">
      <alignment horizontal="left" vertical="center"/>
    </xf>
    <xf numFmtId="0" fontId="15" fillId="4" borderId="1" xfId="0" applyFont="1" applyFill="1" applyBorder="1" applyAlignment="1">
      <alignment horizontal="left" vertical="center" wrapText="1"/>
    </xf>
    <xf numFmtId="0" fontId="4" fillId="10" borderId="1" xfId="0" applyFont="1" applyFill="1" applyBorder="1" applyAlignment="1">
      <alignment horizontal="right" vertical="center"/>
    </xf>
    <xf numFmtId="0" fontId="24" fillId="10" borderId="1" xfId="0" applyFont="1" applyFill="1" applyBorder="1" applyAlignment="1">
      <alignment horizontal="left" vertical="center"/>
    </xf>
    <xf numFmtId="0" fontId="4" fillId="13" borderId="1" xfId="0" applyFont="1" applyFill="1" applyBorder="1" applyAlignment="1">
      <alignment horizontal="right" vertical="center"/>
    </xf>
    <xf numFmtId="0" fontId="24" fillId="13" borderId="1" xfId="0" applyFont="1" applyFill="1" applyBorder="1" applyAlignment="1">
      <alignment horizontal="left" vertical="center"/>
    </xf>
    <xf numFmtId="0" fontId="13" fillId="9" borderId="5" xfId="0" applyFont="1" applyFill="1" applyBorder="1" applyAlignment="1">
      <alignment horizontal="right" vertical="center"/>
    </xf>
    <xf numFmtId="0" fontId="25" fillId="9" borderId="1" xfId="0" applyFont="1" applyFill="1" applyBorder="1" applyAlignment="1">
      <alignment horizontal="left" vertical="center"/>
    </xf>
    <xf numFmtId="0" fontId="26" fillId="7" borderId="1" xfId="0" applyFont="1" applyFill="1" applyBorder="1" applyAlignment="1">
      <alignment horizontal="left" vertical="center" wrapText="1"/>
    </xf>
    <xf numFmtId="0" fontId="11" fillId="5" borderId="1" xfId="0" applyFont="1" applyFill="1" applyBorder="1" applyAlignment="1">
      <alignment horizontal="left" vertical="center"/>
    </xf>
    <xf numFmtId="0" fontId="26" fillId="5" borderId="1" xfId="0" applyFont="1" applyFill="1" applyBorder="1" applyAlignment="1">
      <alignment horizontal="left" vertical="center" wrapText="1"/>
    </xf>
    <xf numFmtId="0" fontId="14" fillId="5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16" fillId="4" borderId="1" xfId="0" applyFont="1" applyFill="1" applyBorder="1" applyAlignment="1">
      <alignment horizontal="center" vertical="center"/>
    </xf>
    <xf numFmtId="0" fontId="16" fillId="7" borderId="1" xfId="0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/>
    </xf>
    <xf numFmtId="0" fontId="4" fillId="14" borderId="1" xfId="0" applyFont="1" applyFill="1" applyBorder="1" applyAlignment="1">
      <alignment horizontal="center" vertical="center"/>
    </xf>
    <xf numFmtId="0" fontId="27" fillId="4" borderId="1" xfId="0" applyFont="1" applyFill="1" applyBorder="1" applyAlignment="1">
      <alignment horizontal="left" vertical="center"/>
    </xf>
    <xf numFmtId="0" fontId="28" fillId="4" borderId="1" xfId="0" applyFont="1" applyFill="1" applyBorder="1" applyAlignment="1">
      <alignment horizontal="left" vertical="center" wrapText="1"/>
    </xf>
    <xf numFmtId="0" fontId="29" fillId="4" borderId="1" xfId="0" applyFont="1" applyFill="1" applyBorder="1" applyAlignment="1">
      <alignment horizontal="center" vertical="center"/>
    </xf>
    <xf numFmtId="0" fontId="26" fillId="4" borderId="1" xfId="0" applyFont="1" applyFill="1" applyBorder="1" applyAlignment="1">
      <alignment horizontal="left" vertical="center" wrapText="1"/>
    </xf>
    <xf numFmtId="0" fontId="27" fillId="7" borderId="1" xfId="0" applyFont="1" applyFill="1" applyBorder="1" applyAlignment="1">
      <alignment horizontal="left" vertical="center"/>
    </xf>
    <xf numFmtId="0" fontId="28" fillId="7" borderId="1" xfId="0" applyFont="1" applyFill="1" applyBorder="1" applyAlignment="1">
      <alignment horizontal="left" vertical="center" wrapText="1"/>
    </xf>
    <xf numFmtId="0" fontId="29" fillId="7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C00000"/>
      <rgbColor rgb="FF00FF00"/>
      <rgbColor rgb="FF0000FF"/>
      <rgbColor rgb="FFFFFF00"/>
      <rgbColor rgb="FFFF00FF"/>
      <rgbColor rgb="FF00FFFF"/>
      <rgbColor rgb="FF800000"/>
      <rgbColor rgb="FF1E6B2E"/>
      <rgbColor rgb="FF000080"/>
      <rgbColor rgb="FF808000"/>
      <rgbColor rgb="FF800080"/>
      <rgbColor rgb="FF008080"/>
      <rgbColor rgb="FFB3B3B3"/>
      <rgbColor rgb="FF808080"/>
      <rgbColor rgb="FF9999FF"/>
      <rgbColor rgb="FF7030A0"/>
      <rgbColor rgb="FFFFF2CC"/>
      <rgbColor rgb="FFDEEAF1"/>
      <rgbColor rgb="FF660066"/>
      <rgbColor rgb="FFFF8080"/>
      <rgbColor rgb="FF0066CC"/>
      <rgbColor rgb="FFBDD7E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2F2F2"/>
      <rgbColor rgb="FFE2EFDA"/>
      <rgbColor rgb="FFFFFF99"/>
      <rgbColor rgb="FFD9D9D9"/>
      <rgbColor rgb="FFFF99CC"/>
      <rgbColor rgb="FFCC99FF"/>
      <rgbColor rgb="FFFCE4D6"/>
      <rgbColor rgb="FF2E75B6"/>
      <rgbColor rgb="FF33CCCC"/>
      <rgbColor rgb="FF99CC00"/>
      <rgbColor rgb="FFFFCC00"/>
      <rgbColor rgb="FFFF9900"/>
      <rgbColor rgb="FFC55A11"/>
      <rgbColor rgb="FF666666"/>
      <rgbColor rgb="FFAAAAAA"/>
      <rgbColor rgb="FF1F3864"/>
      <rgbColor rgb="FF339966"/>
      <rgbColor rgb="FF375623"/>
      <rgbColor rgb="FF444444"/>
      <rgbColor rgb="FF993300"/>
      <rgbColor rgb="FF993366"/>
      <rgbColor rgb="FF555555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ID" sz="1800" b="1" strike="noStrike" spc="-1">
                <a:solidFill>
                  <a:srgbClr val="000000"/>
                </a:solidFill>
                <a:latin typeface="Calibri"/>
              </a:rPr>
              <a:t>Break-Even Analysis – Kosfunds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Total HPP (FC+VC)</c:v>
          </c:tx>
          <c:spPr>
            <a:ln w="20160">
              <a:solidFill>
                <a:srgbClr val="C00000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'Fixed vs Variable Cost'!$A$39:$A$54</c:f>
              <c:numCache>
                <c:formatCode>#,##0</c:formatCode>
                <c:ptCount val="16"/>
                <c:pt idx="0">
                  <c:v>0</c:v>
                </c:pt>
                <c:pt idx="1">
                  <c:v>20</c:v>
                </c:pt>
                <c:pt idx="2">
                  <c:v>40</c:v>
                </c:pt>
                <c:pt idx="3">
                  <c:v>60</c:v>
                </c:pt>
                <c:pt idx="4">
                  <c:v>80</c:v>
                </c:pt>
                <c:pt idx="5">
                  <c:v>100</c:v>
                </c:pt>
                <c:pt idx="6">
                  <c:v>120</c:v>
                </c:pt>
                <c:pt idx="7">
                  <c:v>140</c:v>
                </c:pt>
                <c:pt idx="8">
                  <c:v>160</c:v>
                </c:pt>
                <c:pt idx="9">
                  <c:v>180</c:v>
                </c:pt>
                <c:pt idx="10">
                  <c:v>200</c:v>
                </c:pt>
                <c:pt idx="11">
                  <c:v>220</c:v>
                </c:pt>
                <c:pt idx="12">
                  <c:v>240</c:v>
                </c:pt>
                <c:pt idx="13">
                  <c:v>260</c:v>
                </c:pt>
                <c:pt idx="14">
                  <c:v>280</c:v>
                </c:pt>
                <c:pt idx="15">
                  <c:v>300</c:v>
                </c:pt>
              </c:numCache>
            </c:numRef>
          </c:cat>
          <c:val>
            <c:numRef>
              <c:f>'Fixed vs Variable Cost'!$D$38:$D$54</c:f>
              <c:numCache>
                <c:formatCode>#,##0</c:formatCode>
                <c:ptCount val="17"/>
                <c:pt idx="0" formatCode="General">
                  <c:v>0</c:v>
                </c:pt>
                <c:pt idx="1">
                  <c:v>1271500</c:v>
                </c:pt>
                <c:pt idx="2">
                  <c:v>1291500</c:v>
                </c:pt>
                <c:pt idx="3">
                  <c:v>1311500</c:v>
                </c:pt>
                <c:pt idx="4">
                  <c:v>1331500</c:v>
                </c:pt>
                <c:pt idx="5">
                  <c:v>1351500</c:v>
                </c:pt>
                <c:pt idx="6">
                  <c:v>1371500</c:v>
                </c:pt>
                <c:pt idx="7">
                  <c:v>1391500</c:v>
                </c:pt>
                <c:pt idx="8">
                  <c:v>1411500</c:v>
                </c:pt>
                <c:pt idx="9">
                  <c:v>1431500</c:v>
                </c:pt>
                <c:pt idx="10">
                  <c:v>1451500</c:v>
                </c:pt>
                <c:pt idx="11">
                  <c:v>1471500</c:v>
                </c:pt>
                <c:pt idx="12">
                  <c:v>1491500</c:v>
                </c:pt>
                <c:pt idx="13">
                  <c:v>1511500</c:v>
                </c:pt>
                <c:pt idx="14">
                  <c:v>1531500</c:v>
                </c:pt>
                <c:pt idx="15">
                  <c:v>1551500</c:v>
                </c:pt>
                <c:pt idx="16">
                  <c:v>1571500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D0B2-F442-B306-E3822F592DFB}"/>
            </c:ext>
          </c:extLst>
        </c:ser>
        <c:ser>
          <c:idx val="1"/>
          <c:order val="1"/>
          <c:tx>
            <c:v>Pendapatan</c:v>
          </c:tx>
          <c:spPr>
            <a:ln w="20160">
              <a:solidFill>
                <a:srgbClr val="1E6B2E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'Fixed vs Variable Cost'!$A$39:$A$54</c:f>
              <c:numCache>
                <c:formatCode>#,##0</c:formatCode>
                <c:ptCount val="16"/>
                <c:pt idx="0">
                  <c:v>0</c:v>
                </c:pt>
                <c:pt idx="1">
                  <c:v>20</c:v>
                </c:pt>
                <c:pt idx="2">
                  <c:v>40</c:v>
                </c:pt>
                <c:pt idx="3">
                  <c:v>60</c:v>
                </c:pt>
                <c:pt idx="4">
                  <c:v>80</c:v>
                </c:pt>
                <c:pt idx="5">
                  <c:v>100</c:v>
                </c:pt>
                <c:pt idx="6">
                  <c:v>120</c:v>
                </c:pt>
                <c:pt idx="7">
                  <c:v>140</c:v>
                </c:pt>
                <c:pt idx="8">
                  <c:v>160</c:v>
                </c:pt>
                <c:pt idx="9">
                  <c:v>180</c:v>
                </c:pt>
                <c:pt idx="10">
                  <c:v>200</c:v>
                </c:pt>
                <c:pt idx="11">
                  <c:v>220</c:v>
                </c:pt>
                <c:pt idx="12">
                  <c:v>240</c:v>
                </c:pt>
                <c:pt idx="13">
                  <c:v>260</c:v>
                </c:pt>
                <c:pt idx="14">
                  <c:v>280</c:v>
                </c:pt>
                <c:pt idx="15">
                  <c:v>300</c:v>
                </c:pt>
              </c:numCache>
            </c:numRef>
          </c:cat>
          <c:val>
            <c:numRef>
              <c:f>'Fixed vs Variable Cost'!$E$38:$E$54</c:f>
              <c:numCache>
                <c:formatCode>#,##0</c:formatCode>
                <c:ptCount val="17"/>
                <c:pt idx="0" formatCode="General">
                  <c:v>0</c:v>
                </c:pt>
                <c:pt idx="1">
                  <c:v>0</c:v>
                </c:pt>
                <c:pt idx="2">
                  <c:v>400000</c:v>
                </c:pt>
                <c:pt idx="3">
                  <c:v>800000</c:v>
                </c:pt>
                <c:pt idx="4">
                  <c:v>1200000</c:v>
                </c:pt>
                <c:pt idx="5">
                  <c:v>1600000</c:v>
                </c:pt>
                <c:pt idx="6">
                  <c:v>2000000</c:v>
                </c:pt>
                <c:pt idx="7">
                  <c:v>2400000</c:v>
                </c:pt>
                <c:pt idx="8">
                  <c:v>2800000</c:v>
                </c:pt>
                <c:pt idx="9">
                  <c:v>3200000</c:v>
                </c:pt>
                <c:pt idx="10">
                  <c:v>3600000</c:v>
                </c:pt>
                <c:pt idx="11">
                  <c:v>4000000</c:v>
                </c:pt>
                <c:pt idx="12">
                  <c:v>4400000</c:v>
                </c:pt>
                <c:pt idx="13">
                  <c:v>4800000</c:v>
                </c:pt>
                <c:pt idx="14">
                  <c:v>5200000</c:v>
                </c:pt>
                <c:pt idx="15">
                  <c:v>5600000</c:v>
                </c:pt>
                <c:pt idx="16">
                  <c:v>6000000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D0B2-F442-B306-E3822F592DFB}"/>
            </c:ext>
          </c:extLst>
        </c:ser>
        <c:ser>
          <c:idx val="2"/>
          <c:order val="2"/>
          <c:tx>
            <c:v>Fixed Cost</c:v>
          </c:tx>
          <c:spPr>
            <a:ln w="15120">
              <a:solidFill>
                <a:srgbClr val="2E75B6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'Fixed vs Variable Cost'!$A$39:$A$54</c:f>
              <c:numCache>
                <c:formatCode>#,##0</c:formatCode>
                <c:ptCount val="16"/>
                <c:pt idx="0">
                  <c:v>0</c:v>
                </c:pt>
                <c:pt idx="1">
                  <c:v>20</c:v>
                </c:pt>
                <c:pt idx="2">
                  <c:v>40</c:v>
                </c:pt>
                <c:pt idx="3">
                  <c:v>60</c:v>
                </c:pt>
                <c:pt idx="4">
                  <c:v>80</c:v>
                </c:pt>
                <c:pt idx="5">
                  <c:v>100</c:v>
                </c:pt>
                <c:pt idx="6">
                  <c:v>120</c:v>
                </c:pt>
                <c:pt idx="7">
                  <c:v>140</c:v>
                </c:pt>
                <c:pt idx="8">
                  <c:v>160</c:v>
                </c:pt>
                <c:pt idx="9">
                  <c:v>180</c:v>
                </c:pt>
                <c:pt idx="10">
                  <c:v>200</c:v>
                </c:pt>
                <c:pt idx="11">
                  <c:v>220</c:v>
                </c:pt>
                <c:pt idx="12">
                  <c:v>240</c:v>
                </c:pt>
                <c:pt idx="13">
                  <c:v>260</c:v>
                </c:pt>
                <c:pt idx="14">
                  <c:v>280</c:v>
                </c:pt>
                <c:pt idx="15">
                  <c:v>300</c:v>
                </c:pt>
              </c:numCache>
            </c:numRef>
          </c:cat>
          <c:val>
            <c:numRef>
              <c:f>'Fixed vs Variable Cost'!$B$38:$B$54</c:f>
              <c:numCache>
                <c:formatCode>#,##0</c:formatCode>
                <c:ptCount val="17"/>
                <c:pt idx="0" formatCode="General">
                  <c:v>0</c:v>
                </c:pt>
                <c:pt idx="1">
                  <c:v>1078500</c:v>
                </c:pt>
                <c:pt idx="2">
                  <c:v>1078500</c:v>
                </c:pt>
                <c:pt idx="3">
                  <c:v>1078500</c:v>
                </c:pt>
                <c:pt idx="4">
                  <c:v>1078500</c:v>
                </c:pt>
                <c:pt idx="5">
                  <c:v>1078500</c:v>
                </c:pt>
                <c:pt idx="6">
                  <c:v>1078500</c:v>
                </c:pt>
                <c:pt idx="7">
                  <c:v>1078500</c:v>
                </c:pt>
                <c:pt idx="8">
                  <c:v>1078500</c:v>
                </c:pt>
                <c:pt idx="9">
                  <c:v>1078500</c:v>
                </c:pt>
                <c:pt idx="10">
                  <c:v>1078500</c:v>
                </c:pt>
                <c:pt idx="11">
                  <c:v>1078500</c:v>
                </c:pt>
                <c:pt idx="12">
                  <c:v>1078500</c:v>
                </c:pt>
                <c:pt idx="13">
                  <c:v>1078500</c:v>
                </c:pt>
                <c:pt idx="14">
                  <c:v>1078500</c:v>
                </c:pt>
                <c:pt idx="15">
                  <c:v>1078500</c:v>
                </c:pt>
                <c:pt idx="16">
                  <c:v>1078500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D0B2-F442-B306-E3822F592D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0">
              <a:noFill/>
            </a:ln>
          </c:spPr>
        </c:hiLowLines>
        <c:smooth val="0"/>
        <c:axId val="58143034"/>
        <c:axId val="97157411"/>
      </c:lineChart>
      <c:catAx>
        <c:axId val="58143034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ID" sz="1000" b="1" strike="noStrike" spc="-1">
                    <a:solidFill>
                      <a:srgbClr val="000000"/>
                    </a:solidFill>
                    <a:latin typeface="Calibri"/>
                  </a:rPr>
                  <a:t>Jumlah User Premium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#,##0" sourceLinked="1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97157411"/>
        <c:crosses val="autoZero"/>
        <c:auto val="1"/>
        <c:lblAlgn val="ctr"/>
        <c:lblOffset val="100"/>
        <c:noMultiLvlLbl val="0"/>
      </c:catAx>
      <c:valAx>
        <c:axId val="97157411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title>
          <c:tx>
            <c:rich>
              <a:bodyPr rot="-540000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ID" sz="1000" b="1" strike="noStrike" spc="-1">
                    <a:solidFill>
                      <a:srgbClr val="000000"/>
                    </a:solidFill>
                    <a:latin typeface="Calibri"/>
                  </a:rPr>
                  <a:t>Rupiah (Rp)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58143034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62</xdr:row>
      <xdr:rowOff>0</xdr:rowOff>
    </xdr:from>
    <xdr:to>
      <xdr:col>7</xdr:col>
      <xdr:colOff>589320</xdr:colOff>
      <xdr:row>88</xdr:row>
      <xdr:rowOff>86760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5"/>
  <sheetViews>
    <sheetView zoomScale="164" zoomScaleNormal="100" workbookViewId="0">
      <pane ySplit="4" topLeftCell="A37" activePane="bottomLeft" state="frozen"/>
      <selection pane="bottomLeft" sqref="A1:H1"/>
    </sheetView>
  </sheetViews>
  <sheetFormatPr baseColWidth="10" defaultColWidth="8.6640625" defaultRowHeight="15" x14ac:dyDescent="0.2"/>
  <cols>
    <col min="1" max="3" width="6" customWidth="1"/>
    <col min="4" max="4" width="22" customWidth="1"/>
    <col min="5" max="5" width="18" customWidth="1"/>
    <col min="6" max="6" width="12" customWidth="1"/>
    <col min="7" max="7" width="22" customWidth="1"/>
    <col min="8" max="8" width="16" customWidth="1"/>
  </cols>
  <sheetData>
    <row r="1" spans="1:8" ht="30" customHeight="1" x14ac:dyDescent="0.2">
      <c r="A1" s="14" t="s">
        <v>0</v>
      </c>
      <c r="B1" s="14"/>
      <c r="C1" s="14"/>
      <c r="D1" s="14"/>
      <c r="E1" s="14"/>
      <c r="F1" s="14"/>
      <c r="G1" s="14"/>
      <c r="H1" s="14"/>
    </row>
    <row r="2" spans="1:8" ht="19.5" customHeight="1" x14ac:dyDescent="0.2">
      <c r="A2" s="13" t="s">
        <v>1</v>
      </c>
      <c r="B2" s="13"/>
      <c r="C2" s="13"/>
      <c r="D2" s="13"/>
      <c r="E2" s="13"/>
      <c r="F2" s="13"/>
      <c r="G2" s="13"/>
      <c r="H2" s="13"/>
    </row>
    <row r="3" spans="1:8" ht="15" customHeight="1" x14ac:dyDescent="0.2">
      <c r="A3" s="12" t="s">
        <v>2</v>
      </c>
      <c r="B3" s="12"/>
      <c r="C3" s="12"/>
      <c r="D3" s="12"/>
      <c r="E3" s="12"/>
      <c r="F3" s="12"/>
      <c r="G3" s="12"/>
      <c r="H3" s="12"/>
    </row>
    <row r="5" spans="1:8" ht="18" customHeight="1" x14ac:dyDescent="0.2">
      <c r="A5" s="11" t="s">
        <v>3</v>
      </c>
      <c r="B5" s="11"/>
      <c r="C5" s="11"/>
      <c r="D5" s="11"/>
      <c r="E5" s="11"/>
      <c r="F5" s="11"/>
      <c r="G5" s="11"/>
      <c r="H5" s="11"/>
    </row>
    <row r="6" spans="1:8" ht="21.75" customHeight="1" x14ac:dyDescent="0.2">
      <c r="A6" s="10" t="s">
        <v>4</v>
      </c>
      <c r="B6" s="10"/>
      <c r="C6" s="10"/>
      <c r="D6" s="10"/>
      <c r="E6" s="15" t="s">
        <v>5</v>
      </c>
      <c r="F6" s="15" t="s">
        <v>6</v>
      </c>
      <c r="G6" s="10" t="s">
        <v>7</v>
      </c>
      <c r="H6" s="10"/>
    </row>
    <row r="7" spans="1:8" ht="16.5" customHeight="1" x14ac:dyDescent="0.2">
      <c r="A7" s="9" t="s">
        <v>8</v>
      </c>
      <c r="B7" s="9"/>
      <c r="C7" s="9"/>
      <c r="D7" s="9"/>
      <c r="E7" s="16">
        <v>5000</v>
      </c>
      <c r="F7" s="17" t="s">
        <v>9</v>
      </c>
      <c r="G7" s="8" t="s">
        <v>10</v>
      </c>
      <c r="H7" s="8"/>
    </row>
    <row r="8" spans="1:8" ht="16.5" customHeight="1" x14ac:dyDescent="0.2">
      <c r="A8" s="9" t="s">
        <v>11</v>
      </c>
      <c r="B8" s="9"/>
      <c r="C8" s="9"/>
      <c r="D8" s="9"/>
      <c r="E8" s="16">
        <v>2000</v>
      </c>
      <c r="F8" s="17" t="s">
        <v>9</v>
      </c>
      <c r="G8" s="8" t="s">
        <v>12</v>
      </c>
      <c r="H8" s="8"/>
    </row>
    <row r="9" spans="1:8" ht="16.5" customHeight="1" x14ac:dyDescent="0.2">
      <c r="A9" s="9" t="s">
        <v>13</v>
      </c>
      <c r="B9" s="9"/>
      <c r="C9" s="9"/>
      <c r="D9" s="9"/>
      <c r="E9" s="18">
        <v>0.08</v>
      </c>
      <c r="F9" s="17" t="s">
        <v>14</v>
      </c>
      <c r="G9" s="8" t="s">
        <v>15</v>
      </c>
      <c r="H9" s="8"/>
    </row>
    <row r="10" spans="1:8" ht="16.5" customHeight="1" x14ac:dyDescent="0.2">
      <c r="A10" s="7" t="s">
        <v>16</v>
      </c>
      <c r="B10" s="7"/>
      <c r="C10" s="7"/>
      <c r="D10" s="7"/>
      <c r="E10" s="19">
        <f>E8*E9</f>
        <v>160</v>
      </c>
      <c r="F10" s="20" t="s">
        <v>9</v>
      </c>
      <c r="G10" s="6" t="s">
        <v>17</v>
      </c>
      <c r="H10" s="6"/>
    </row>
    <row r="11" spans="1:8" ht="16.5" customHeight="1" x14ac:dyDescent="0.2">
      <c r="A11" s="9" t="s">
        <v>18</v>
      </c>
      <c r="B11" s="9"/>
      <c r="C11" s="9"/>
      <c r="D11" s="9"/>
      <c r="E11" s="16">
        <v>20000</v>
      </c>
      <c r="F11" s="17" t="s">
        <v>19</v>
      </c>
      <c r="G11" s="8" t="s">
        <v>20</v>
      </c>
      <c r="H11" s="8"/>
    </row>
    <row r="12" spans="1:8" ht="16.5" customHeight="1" x14ac:dyDescent="0.2">
      <c r="A12" s="9" t="s">
        <v>21</v>
      </c>
      <c r="B12" s="9"/>
      <c r="C12" s="9"/>
      <c r="D12" s="9"/>
      <c r="E12" s="16">
        <v>1</v>
      </c>
      <c r="F12" s="17" t="s">
        <v>22</v>
      </c>
      <c r="G12" s="8" t="s">
        <v>23</v>
      </c>
      <c r="H12" s="8"/>
    </row>
    <row r="14" spans="1:8" ht="18" customHeight="1" x14ac:dyDescent="0.2">
      <c r="A14" s="11" t="s">
        <v>24</v>
      </c>
      <c r="B14" s="11"/>
      <c r="C14" s="11"/>
      <c r="D14" s="11"/>
      <c r="E14" s="11"/>
      <c r="F14" s="11"/>
      <c r="G14" s="11"/>
      <c r="H14" s="11"/>
    </row>
    <row r="15" spans="1:8" ht="21.75" customHeight="1" x14ac:dyDescent="0.2">
      <c r="A15" s="10" t="s">
        <v>4</v>
      </c>
      <c r="B15" s="10"/>
      <c r="C15" s="10"/>
      <c r="D15" s="10"/>
      <c r="E15" s="15" t="s">
        <v>25</v>
      </c>
      <c r="F15" s="15" t="s">
        <v>6</v>
      </c>
      <c r="G15" s="10" t="s">
        <v>26</v>
      </c>
      <c r="H15" s="10"/>
    </row>
    <row r="16" spans="1:8" ht="16.5" customHeight="1" x14ac:dyDescent="0.2">
      <c r="A16" s="9" t="s">
        <v>27</v>
      </c>
      <c r="B16" s="9"/>
      <c r="C16" s="9"/>
      <c r="D16" s="9"/>
      <c r="E16" s="16">
        <v>128000</v>
      </c>
      <c r="F16" s="17" t="s">
        <v>28</v>
      </c>
      <c r="G16" s="8" t="s">
        <v>29</v>
      </c>
      <c r="H16" s="8"/>
    </row>
    <row r="17" spans="1:8" ht="16.5" customHeight="1" x14ac:dyDescent="0.2">
      <c r="A17" s="9" t="s">
        <v>30</v>
      </c>
      <c r="B17" s="9"/>
      <c r="C17" s="9"/>
      <c r="D17" s="9"/>
      <c r="E17" s="16">
        <v>12500</v>
      </c>
      <c r="F17" s="17" t="s">
        <v>28</v>
      </c>
      <c r="G17" s="8" t="s">
        <v>31</v>
      </c>
      <c r="H17" s="8"/>
    </row>
    <row r="18" spans="1:8" ht="16.5" customHeight="1" x14ac:dyDescent="0.2">
      <c r="A18" s="9" t="s">
        <v>32</v>
      </c>
      <c r="B18" s="9"/>
      <c r="C18" s="9"/>
      <c r="D18" s="9"/>
      <c r="E18" s="16">
        <v>32000</v>
      </c>
      <c r="F18" s="17" t="s">
        <v>28</v>
      </c>
      <c r="G18" s="8" t="s">
        <v>33</v>
      </c>
      <c r="H18" s="8"/>
    </row>
    <row r="19" spans="1:8" ht="16.5" customHeight="1" x14ac:dyDescent="0.2">
      <c r="A19" s="5" t="s">
        <v>34</v>
      </c>
      <c r="B19" s="5"/>
      <c r="C19" s="5"/>
      <c r="D19" s="5"/>
      <c r="E19" s="21">
        <v>0</v>
      </c>
      <c r="F19" s="22" t="s">
        <v>28</v>
      </c>
      <c r="G19" s="4" t="s">
        <v>35</v>
      </c>
      <c r="H19" s="4"/>
    </row>
    <row r="20" spans="1:8" ht="16.5" customHeight="1" x14ac:dyDescent="0.2">
      <c r="A20" s="5" t="s">
        <v>36</v>
      </c>
      <c r="B20" s="5"/>
      <c r="C20" s="5"/>
      <c r="D20" s="5"/>
      <c r="E20" s="21">
        <v>0</v>
      </c>
      <c r="F20" s="22" t="s">
        <v>28</v>
      </c>
      <c r="G20" s="4" t="s">
        <v>37</v>
      </c>
      <c r="H20" s="4"/>
    </row>
    <row r="21" spans="1:8" ht="16.5" customHeight="1" x14ac:dyDescent="0.2">
      <c r="A21" s="9" t="s">
        <v>38</v>
      </c>
      <c r="B21" s="9"/>
      <c r="C21" s="9"/>
      <c r="D21" s="9"/>
      <c r="E21" s="16">
        <v>96000</v>
      </c>
      <c r="F21" s="17" t="s">
        <v>28</v>
      </c>
      <c r="G21" s="8" t="s">
        <v>39</v>
      </c>
      <c r="H21" s="8"/>
    </row>
    <row r="22" spans="1:8" ht="16.5" customHeight="1" x14ac:dyDescent="0.2">
      <c r="A22" s="5" t="s">
        <v>40</v>
      </c>
      <c r="B22" s="5"/>
      <c r="C22" s="5"/>
      <c r="D22" s="5"/>
      <c r="E22" s="21">
        <v>0</v>
      </c>
      <c r="F22" s="22" t="s">
        <v>28</v>
      </c>
      <c r="G22" s="4" t="s">
        <v>35</v>
      </c>
      <c r="H22" s="4"/>
    </row>
    <row r="24" spans="1:8" ht="18" customHeight="1" x14ac:dyDescent="0.2">
      <c r="A24" s="11" t="s">
        <v>41</v>
      </c>
      <c r="B24" s="11"/>
      <c r="C24" s="11"/>
      <c r="D24" s="11"/>
      <c r="E24" s="11"/>
      <c r="F24" s="11"/>
      <c r="G24" s="11"/>
      <c r="H24" s="11"/>
    </row>
    <row r="25" spans="1:8" ht="21.75" customHeight="1" x14ac:dyDescent="0.2">
      <c r="A25" s="10" t="s">
        <v>42</v>
      </c>
      <c r="B25" s="10"/>
      <c r="C25" s="10" t="s">
        <v>4</v>
      </c>
      <c r="D25" s="10"/>
      <c r="E25" s="15" t="s">
        <v>5</v>
      </c>
      <c r="F25" s="15" t="s">
        <v>6</v>
      </c>
      <c r="G25" s="10" t="s">
        <v>43</v>
      </c>
      <c r="H25" s="10"/>
    </row>
    <row r="26" spans="1:8" ht="16.5" customHeight="1" x14ac:dyDescent="0.2">
      <c r="A26" s="9" t="s">
        <v>44</v>
      </c>
      <c r="B26" s="9"/>
      <c r="C26" s="9" t="s">
        <v>45</v>
      </c>
      <c r="D26" s="9"/>
      <c r="E26" s="16">
        <v>500</v>
      </c>
      <c r="F26" s="17" t="s">
        <v>46</v>
      </c>
      <c r="G26" s="8" t="s">
        <v>47</v>
      </c>
      <c r="H26" s="8"/>
    </row>
    <row r="27" spans="1:8" ht="16.5" customHeight="1" x14ac:dyDescent="0.2">
      <c r="A27" s="9" t="s">
        <v>48</v>
      </c>
      <c r="B27" s="9"/>
      <c r="C27" s="9" t="s">
        <v>49</v>
      </c>
      <c r="D27" s="9"/>
      <c r="E27" s="16">
        <v>50</v>
      </c>
      <c r="F27" s="17" t="s">
        <v>50</v>
      </c>
      <c r="G27" s="8" t="s">
        <v>51</v>
      </c>
      <c r="H27" s="8"/>
    </row>
    <row r="28" spans="1:8" ht="16.5" customHeight="1" x14ac:dyDescent="0.2">
      <c r="A28" s="9" t="s">
        <v>52</v>
      </c>
      <c r="B28" s="9"/>
      <c r="C28" s="9" t="s">
        <v>53</v>
      </c>
      <c r="D28" s="9"/>
      <c r="E28" s="16">
        <v>200</v>
      </c>
      <c r="F28" s="17" t="s">
        <v>46</v>
      </c>
      <c r="G28" s="8" t="s">
        <v>54</v>
      </c>
      <c r="H28" s="8"/>
    </row>
    <row r="29" spans="1:8" ht="16.5" customHeight="1" x14ac:dyDescent="0.2">
      <c r="A29" s="9" t="s">
        <v>55</v>
      </c>
      <c r="B29" s="9"/>
      <c r="C29" s="9" t="s">
        <v>56</v>
      </c>
      <c r="D29" s="9"/>
      <c r="E29" s="16">
        <v>480</v>
      </c>
      <c r="F29" s="17" t="s">
        <v>50</v>
      </c>
      <c r="G29" s="8" t="s">
        <v>57</v>
      </c>
      <c r="H29" s="8"/>
    </row>
    <row r="30" spans="1:8" ht="16.5" customHeight="1" x14ac:dyDescent="0.2">
      <c r="A30" s="9" t="s">
        <v>58</v>
      </c>
      <c r="B30" s="9"/>
      <c r="C30" s="9" t="s">
        <v>59</v>
      </c>
      <c r="D30" s="9"/>
      <c r="E30" s="16">
        <v>300</v>
      </c>
      <c r="F30" s="17" t="s">
        <v>46</v>
      </c>
      <c r="G30" s="8" t="s">
        <v>60</v>
      </c>
      <c r="H30" s="8"/>
    </row>
    <row r="31" spans="1:8" ht="16.5" customHeight="1" x14ac:dyDescent="0.2">
      <c r="A31" s="9" t="s">
        <v>61</v>
      </c>
      <c r="B31" s="9"/>
      <c r="C31" s="9" t="s">
        <v>62</v>
      </c>
      <c r="D31" s="9"/>
      <c r="E31" s="16">
        <v>240</v>
      </c>
      <c r="F31" s="17" t="s">
        <v>50</v>
      </c>
      <c r="G31" s="8" t="s">
        <v>63</v>
      </c>
      <c r="H31" s="8"/>
    </row>
    <row r="32" spans="1:8" ht="16.5" customHeight="1" x14ac:dyDescent="0.2">
      <c r="A32" s="9" t="s">
        <v>64</v>
      </c>
      <c r="B32" s="9"/>
      <c r="C32" s="9" t="s">
        <v>65</v>
      </c>
      <c r="D32" s="9"/>
      <c r="E32" s="16">
        <v>1000</v>
      </c>
      <c r="F32" s="17" t="s">
        <v>66</v>
      </c>
      <c r="G32" s="8" t="s">
        <v>67</v>
      </c>
      <c r="H32" s="8"/>
    </row>
    <row r="33" spans="1:8" ht="16.5" customHeight="1" x14ac:dyDescent="0.2">
      <c r="A33" s="5" t="s">
        <v>68</v>
      </c>
      <c r="B33" s="5"/>
      <c r="C33" s="5" t="s">
        <v>69</v>
      </c>
      <c r="D33" s="5"/>
      <c r="E33" s="21">
        <v>0</v>
      </c>
      <c r="F33" s="22" t="s">
        <v>70</v>
      </c>
      <c r="G33" s="4" t="s">
        <v>71</v>
      </c>
      <c r="H33" s="4"/>
    </row>
    <row r="34" spans="1:8" ht="16.5" customHeight="1" x14ac:dyDescent="0.2">
      <c r="A34" s="9" t="s">
        <v>72</v>
      </c>
      <c r="B34" s="9"/>
      <c r="C34" s="9" t="s">
        <v>73</v>
      </c>
      <c r="D34" s="9"/>
      <c r="E34" s="16">
        <v>5000</v>
      </c>
      <c r="F34" s="17" t="s">
        <v>74</v>
      </c>
      <c r="G34" s="8" t="s">
        <v>75</v>
      </c>
      <c r="H34" s="8"/>
    </row>
    <row r="35" spans="1:8" ht="16.5" customHeight="1" x14ac:dyDescent="0.2">
      <c r="A35" s="5" t="s">
        <v>76</v>
      </c>
      <c r="B35" s="5"/>
      <c r="C35" s="5" t="s">
        <v>77</v>
      </c>
      <c r="D35" s="5"/>
      <c r="E35" s="21">
        <v>0</v>
      </c>
      <c r="F35" s="22" t="s">
        <v>78</v>
      </c>
      <c r="G35" s="4" t="s">
        <v>79</v>
      </c>
      <c r="H35" s="4"/>
    </row>
    <row r="37" spans="1:8" ht="18" customHeight="1" x14ac:dyDescent="0.2">
      <c r="A37" s="11" t="s">
        <v>80</v>
      </c>
      <c r="B37" s="11"/>
      <c r="C37" s="11"/>
      <c r="D37" s="11"/>
      <c r="E37" s="11"/>
      <c r="F37" s="11"/>
      <c r="G37" s="11"/>
      <c r="H37" s="11"/>
    </row>
    <row r="38" spans="1:8" ht="21.75" customHeight="1" x14ac:dyDescent="0.2">
      <c r="A38" s="10" t="s">
        <v>4</v>
      </c>
      <c r="B38" s="10"/>
      <c r="C38" s="10"/>
      <c r="D38" s="10"/>
      <c r="E38" s="15" t="s">
        <v>5</v>
      </c>
      <c r="F38" s="15" t="s">
        <v>6</v>
      </c>
      <c r="G38" s="10" t="s">
        <v>43</v>
      </c>
      <c r="H38" s="10"/>
    </row>
    <row r="39" spans="1:8" ht="16.5" customHeight="1" x14ac:dyDescent="0.2">
      <c r="A39" s="9" t="s">
        <v>81</v>
      </c>
      <c r="B39" s="9"/>
      <c r="C39" s="9"/>
      <c r="D39" s="9"/>
      <c r="E39" s="16">
        <v>240</v>
      </c>
      <c r="F39" s="17" t="s">
        <v>82</v>
      </c>
      <c r="G39" s="8" t="s">
        <v>83</v>
      </c>
      <c r="H39" s="8"/>
    </row>
    <row r="40" spans="1:8" ht="16.5" customHeight="1" x14ac:dyDescent="0.2">
      <c r="A40" s="9" t="s">
        <v>84</v>
      </c>
      <c r="B40" s="9"/>
      <c r="C40" s="9"/>
      <c r="D40" s="9"/>
      <c r="E40" s="16">
        <v>15000</v>
      </c>
      <c r="F40" s="17" t="s">
        <v>85</v>
      </c>
      <c r="G40" s="8" t="s">
        <v>86</v>
      </c>
      <c r="H40" s="8"/>
    </row>
    <row r="41" spans="1:8" ht="16.5" customHeight="1" x14ac:dyDescent="0.2">
      <c r="A41" s="7" t="s">
        <v>87</v>
      </c>
      <c r="B41" s="7"/>
      <c r="C41" s="7"/>
      <c r="D41" s="7"/>
      <c r="E41" s="19">
        <f>Asumsi!E39*Asumsi!E40</f>
        <v>3600000</v>
      </c>
      <c r="F41" s="20" t="s">
        <v>19</v>
      </c>
      <c r="G41" s="6" t="s">
        <v>88</v>
      </c>
      <c r="H41" s="6"/>
    </row>
    <row r="42" spans="1:8" ht="16.5" customHeight="1" x14ac:dyDescent="0.2">
      <c r="A42" s="9" t="s">
        <v>89</v>
      </c>
      <c r="B42" s="9"/>
      <c r="C42" s="9"/>
      <c r="D42" s="9"/>
      <c r="E42" s="16">
        <v>12</v>
      </c>
      <c r="F42" s="17" t="s">
        <v>22</v>
      </c>
      <c r="G42" s="8" t="s">
        <v>90</v>
      </c>
      <c r="H42" s="8"/>
    </row>
    <row r="43" spans="1:8" ht="16.5" customHeight="1" x14ac:dyDescent="0.2">
      <c r="A43" s="9" t="s">
        <v>91</v>
      </c>
      <c r="B43" s="9"/>
      <c r="C43" s="9"/>
      <c r="D43" s="9"/>
      <c r="E43" s="16">
        <v>5</v>
      </c>
      <c r="F43" s="17" t="s">
        <v>92</v>
      </c>
      <c r="G43" s="8" t="s">
        <v>93</v>
      </c>
      <c r="H43" s="8"/>
    </row>
    <row r="44" spans="1:8" ht="16.5" customHeight="1" x14ac:dyDescent="0.2">
      <c r="A44" s="9" t="s">
        <v>94</v>
      </c>
      <c r="B44" s="9"/>
      <c r="C44" s="9"/>
      <c r="D44" s="9"/>
      <c r="E44" s="16">
        <v>40000</v>
      </c>
      <c r="F44" s="17" t="s">
        <v>19</v>
      </c>
      <c r="G44" s="8" t="s">
        <v>95</v>
      </c>
      <c r="H44" s="8"/>
    </row>
    <row r="45" spans="1:8" ht="16.5" customHeight="1" x14ac:dyDescent="0.2">
      <c r="A45" s="9" t="s">
        <v>96</v>
      </c>
      <c r="B45" s="9"/>
      <c r="C45" s="9"/>
      <c r="D45" s="9"/>
      <c r="E45" s="16">
        <v>60000</v>
      </c>
      <c r="F45" s="17" t="s">
        <v>28</v>
      </c>
      <c r="G45" s="8" t="s">
        <v>97</v>
      </c>
      <c r="H45" s="8"/>
    </row>
    <row r="47" spans="1:8" ht="18" customHeight="1" x14ac:dyDescent="0.2">
      <c r="A47" s="11" t="s">
        <v>98</v>
      </c>
      <c r="B47" s="11"/>
      <c r="C47" s="11"/>
      <c r="D47" s="11"/>
      <c r="E47" s="11"/>
      <c r="F47" s="11"/>
      <c r="G47" s="11"/>
      <c r="H47" s="11"/>
    </row>
    <row r="48" spans="1:8" ht="21.75" customHeight="1" x14ac:dyDescent="0.2">
      <c r="A48" s="10" t="s">
        <v>4</v>
      </c>
      <c r="B48" s="10"/>
      <c r="C48" s="10"/>
      <c r="D48" s="10"/>
      <c r="E48" s="15" t="s">
        <v>5</v>
      </c>
      <c r="F48" s="15" t="s">
        <v>6</v>
      </c>
      <c r="G48" s="10" t="s">
        <v>43</v>
      </c>
      <c r="H48" s="10"/>
    </row>
    <row r="49" spans="1:8" ht="16.5" customHeight="1" x14ac:dyDescent="0.2">
      <c r="A49" s="9" t="s">
        <v>99</v>
      </c>
      <c r="B49" s="9"/>
      <c r="C49" s="9"/>
      <c r="D49" s="9"/>
      <c r="E49" s="16">
        <v>50</v>
      </c>
      <c r="F49" s="17" t="s">
        <v>100</v>
      </c>
      <c r="G49" s="8" t="s">
        <v>101</v>
      </c>
      <c r="H49" s="8"/>
    </row>
    <row r="50" spans="1:8" ht="16.5" customHeight="1" x14ac:dyDescent="0.2">
      <c r="A50" s="9" t="s">
        <v>102</v>
      </c>
      <c r="B50" s="9"/>
      <c r="C50" s="9"/>
      <c r="D50" s="9"/>
      <c r="E50" s="16">
        <v>1500</v>
      </c>
      <c r="F50" s="17" t="s">
        <v>103</v>
      </c>
      <c r="G50" s="8" t="s">
        <v>104</v>
      </c>
      <c r="H50" s="8"/>
    </row>
    <row r="51" spans="1:8" ht="16.5" customHeight="1" x14ac:dyDescent="0.2">
      <c r="A51" s="9" t="s">
        <v>105</v>
      </c>
      <c r="B51" s="9"/>
      <c r="C51" s="9"/>
      <c r="D51" s="9"/>
      <c r="E51" s="16">
        <v>2</v>
      </c>
      <c r="F51" s="17" t="s">
        <v>106</v>
      </c>
      <c r="G51" s="8" t="s">
        <v>107</v>
      </c>
      <c r="H51" s="8"/>
    </row>
    <row r="52" spans="1:8" ht="16.5" customHeight="1" x14ac:dyDescent="0.2">
      <c r="A52" s="9" t="s">
        <v>108</v>
      </c>
      <c r="B52" s="9"/>
      <c r="C52" s="9"/>
      <c r="D52" s="9"/>
      <c r="E52" s="16">
        <v>100000</v>
      </c>
      <c r="F52" s="17" t="s">
        <v>109</v>
      </c>
      <c r="G52" s="8" t="s">
        <v>110</v>
      </c>
      <c r="H52" s="8"/>
    </row>
    <row r="53" spans="1:8" ht="16.5" customHeight="1" x14ac:dyDescent="0.2">
      <c r="A53" s="9" t="s">
        <v>111</v>
      </c>
      <c r="B53" s="9"/>
      <c r="C53" s="9"/>
      <c r="D53" s="9"/>
      <c r="E53" s="16">
        <v>150000</v>
      </c>
      <c r="F53" s="17" t="s">
        <v>28</v>
      </c>
      <c r="G53" s="8" t="s">
        <v>112</v>
      </c>
      <c r="H53" s="8"/>
    </row>
    <row r="54" spans="1:8" ht="16.5" customHeight="1" x14ac:dyDescent="0.2">
      <c r="A54" s="9" t="s">
        <v>113</v>
      </c>
      <c r="B54" s="9"/>
      <c r="C54" s="9"/>
      <c r="D54" s="9"/>
      <c r="E54" s="16">
        <v>75000</v>
      </c>
      <c r="F54" s="17" t="s">
        <v>28</v>
      </c>
      <c r="G54" s="8" t="s">
        <v>114</v>
      </c>
      <c r="H54" s="8"/>
    </row>
    <row r="55" spans="1:8" ht="16.5" customHeight="1" x14ac:dyDescent="0.2">
      <c r="A55" s="9" t="s">
        <v>115</v>
      </c>
      <c r="B55" s="9"/>
      <c r="C55" s="9"/>
      <c r="D55" s="9"/>
      <c r="E55" s="16">
        <v>50000</v>
      </c>
      <c r="F55" s="17" t="s">
        <v>28</v>
      </c>
      <c r="G55" s="8" t="s">
        <v>116</v>
      </c>
      <c r="H55" s="8"/>
    </row>
  </sheetData>
  <mergeCells count="103">
    <mergeCell ref="A52:D52"/>
    <mergeCell ref="G52:H52"/>
    <mergeCell ref="A53:D53"/>
    <mergeCell ref="G53:H53"/>
    <mergeCell ref="A54:D54"/>
    <mergeCell ref="G54:H54"/>
    <mergeCell ref="A55:D55"/>
    <mergeCell ref="G55:H55"/>
    <mergeCell ref="A47:H47"/>
    <mergeCell ref="A48:D48"/>
    <mergeCell ref="G48:H48"/>
    <mergeCell ref="A49:D49"/>
    <mergeCell ref="G49:H49"/>
    <mergeCell ref="A50:D50"/>
    <mergeCell ref="G50:H50"/>
    <mergeCell ref="A51:D51"/>
    <mergeCell ref="G51:H51"/>
    <mergeCell ref="A41:D41"/>
    <mergeCell ref="G41:H41"/>
    <mergeCell ref="A42:D42"/>
    <mergeCell ref="G42:H42"/>
    <mergeCell ref="A43:D43"/>
    <mergeCell ref="G43:H43"/>
    <mergeCell ref="A44:D44"/>
    <mergeCell ref="G44:H44"/>
    <mergeCell ref="A45:D45"/>
    <mergeCell ref="G45:H45"/>
    <mergeCell ref="A35:B35"/>
    <mergeCell ref="C35:D35"/>
    <mergeCell ref="G35:H35"/>
    <mergeCell ref="A37:H37"/>
    <mergeCell ref="A38:D38"/>
    <mergeCell ref="G38:H38"/>
    <mergeCell ref="A39:D39"/>
    <mergeCell ref="G39:H39"/>
    <mergeCell ref="A40:D40"/>
    <mergeCell ref="G40:H40"/>
    <mergeCell ref="A32:B32"/>
    <mergeCell ref="C32:D32"/>
    <mergeCell ref="G32:H32"/>
    <mergeCell ref="A33:B33"/>
    <mergeCell ref="C33:D33"/>
    <mergeCell ref="G33:H33"/>
    <mergeCell ref="A34:B34"/>
    <mergeCell ref="C34:D34"/>
    <mergeCell ref="G34:H34"/>
    <mergeCell ref="A29:B29"/>
    <mergeCell ref="C29:D29"/>
    <mergeCell ref="G29:H29"/>
    <mergeCell ref="A30:B30"/>
    <mergeCell ref="C30:D30"/>
    <mergeCell ref="G30:H30"/>
    <mergeCell ref="A31:B31"/>
    <mergeCell ref="C31:D31"/>
    <mergeCell ref="G31:H31"/>
    <mergeCell ref="A26:B26"/>
    <mergeCell ref="C26:D26"/>
    <mergeCell ref="G26:H26"/>
    <mergeCell ref="A27:B27"/>
    <mergeCell ref="C27:D27"/>
    <mergeCell ref="G27:H27"/>
    <mergeCell ref="A28:B28"/>
    <mergeCell ref="C28:D28"/>
    <mergeCell ref="G28:H28"/>
    <mergeCell ref="A20:D20"/>
    <mergeCell ref="G20:H20"/>
    <mergeCell ref="A21:D21"/>
    <mergeCell ref="G21:H21"/>
    <mergeCell ref="A22:D22"/>
    <mergeCell ref="G22:H22"/>
    <mergeCell ref="A24:H24"/>
    <mergeCell ref="A25:B25"/>
    <mergeCell ref="C25:D25"/>
    <mergeCell ref="G25:H25"/>
    <mergeCell ref="A15:D15"/>
    <mergeCell ref="G15:H15"/>
    <mergeCell ref="A16:D16"/>
    <mergeCell ref="G16:H16"/>
    <mergeCell ref="A17:D17"/>
    <mergeCell ref="G17:H17"/>
    <mergeCell ref="A18:D18"/>
    <mergeCell ref="G18:H18"/>
    <mergeCell ref="A19:D19"/>
    <mergeCell ref="G19:H19"/>
    <mergeCell ref="A9:D9"/>
    <mergeCell ref="G9:H9"/>
    <mergeCell ref="A10:D10"/>
    <mergeCell ref="G10:H10"/>
    <mergeCell ref="A11:D11"/>
    <mergeCell ref="G11:H11"/>
    <mergeCell ref="A12:D12"/>
    <mergeCell ref="G12:H12"/>
    <mergeCell ref="A14:H14"/>
    <mergeCell ref="A1:H1"/>
    <mergeCell ref="A2:H2"/>
    <mergeCell ref="A3:H3"/>
    <mergeCell ref="A5:H5"/>
    <mergeCell ref="A6:D6"/>
    <mergeCell ref="G6:H6"/>
    <mergeCell ref="A7:D7"/>
    <mergeCell ref="G7:H7"/>
    <mergeCell ref="A8:D8"/>
    <mergeCell ref="G8:H8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54"/>
  <sheetViews>
    <sheetView zoomScale="150" zoomScaleNormal="100" workbookViewId="0">
      <pane ySplit="5" topLeftCell="A38" activePane="bottomLeft" state="frozen"/>
      <selection pane="bottomLeft" activeCell="I21" sqref="I21"/>
    </sheetView>
  </sheetViews>
  <sheetFormatPr baseColWidth="10" defaultColWidth="8.6640625" defaultRowHeight="15" x14ac:dyDescent="0.2"/>
  <cols>
    <col min="1" max="1" width="5" customWidth="1"/>
    <col min="2" max="3" width="6" customWidth="1"/>
    <col min="4" max="5" width="22" customWidth="1"/>
    <col min="6" max="6" width="9" customWidth="1"/>
    <col min="7" max="7" width="10" customWidth="1"/>
    <col min="8" max="8" width="16" customWidth="1"/>
    <col min="9" max="9" width="18" customWidth="1"/>
  </cols>
  <sheetData>
    <row r="1" spans="1:9" ht="30" customHeight="1" x14ac:dyDescent="0.2">
      <c r="A1" s="14" t="s">
        <v>117</v>
      </c>
      <c r="B1" s="14"/>
      <c r="C1" s="14"/>
      <c r="D1" s="14"/>
      <c r="E1" s="14"/>
      <c r="F1" s="14"/>
      <c r="G1" s="14"/>
      <c r="H1" s="14"/>
    </row>
    <row r="2" spans="1:9" ht="19.5" customHeight="1" x14ac:dyDescent="0.2">
      <c r="A2" s="13" t="s">
        <v>118</v>
      </c>
      <c r="B2" s="13"/>
      <c r="C2" s="13"/>
      <c r="D2" s="13"/>
      <c r="E2" s="13"/>
      <c r="F2" s="13"/>
      <c r="G2" s="13"/>
      <c r="H2" s="13"/>
    </row>
    <row r="3" spans="1:9" ht="15" customHeight="1" x14ac:dyDescent="0.2">
      <c r="A3" s="12" t="s">
        <v>119</v>
      </c>
      <c r="B3" s="12"/>
      <c r="C3" s="12"/>
      <c r="D3" s="12"/>
      <c r="E3" s="12"/>
      <c r="F3" s="12"/>
      <c r="G3" s="12"/>
      <c r="H3" s="12"/>
      <c r="I3" s="12"/>
    </row>
    <row r="5" spans="1:9" ht="21.75" customHeight="1" x14ac:dyDescent="0.2">
      <c r="A5" s="15" t="s">
        <v>120</v>
      </c>
      <c r="B5" s="10" t="s">
        <v>121</v>
      </c>
      <c r="C5" s="10"/>
      <c r="D5" s="10"/>
      <c r="E5" s="15" t="s">
        <v>122</v>
      </c>
      <c r="F5" s="15" t="s">
        <v>123</v>
      </c>
      <c r="G5" s="15" t="s">
        <v>6</v>
      </c>
      <c r="H5" s="15" t="s">
        <v>124</v>
      </c>
      <c r="I5" s="15" t="s">
        <v>125</v>
      </c>
    </row>
    <row r="6" spans="1:9" ht="18" customHeight="1" x14ac:dyDescent="0.2">
      <c r="A6" s="11" t="s">
        <v>126</v>
      </c>
      <c r="B6" s="11"/>
      <c r="C6" s="11"/>
      <c r="D6" s="11"/>
      <c r="E6" s="11"/>
      <c r="F6" s="11"/>
      <c r="G6" s="11"/>
      <c r="H6" s="11"/>
      <c r="I6" s="11"/>
    </row>
    <row r="7" spans="1:9" ht="18" customHeight="1" x14ac:dyDescent="0.2">
      <c r="A7" s="23">
        <v>1</v>
      </c>
      <c r="B7" s="3" t="s">
        <v>127</v>
      </c>
      <c r="C7" s="3"/>
      <c r="D7" s="3"/>
      <c r="E7" s="24" t="s">
        <v>128</v>
      </c>
      <c r="F7" s="25">
        <v>1</v>
      </c>
      <c r="G7" s="26" t="s">
        <v>22</v>
      </c>
      <c r="H7" s="27">
        <f>Asumsi!E16</f>
        <v>128000</v>
      </c>
      <c r="I7" s="27">
        <f t="shared" ref="I7:I13" si="0">F7*H7</f>
        <v>128000</v>
      </c>
    </row>
    <row r="8" spans="1:9" ht="18" customHeight="1" x14ac:dyDescent="0.2">
      <c r="A8" s="28">
        <v>2</v>
      </c>
      <c r="B8" s="2" t="s">
        <v>129</v>
      </c>
      <c r="C8" s="2"/>
      <c r="D8" s="2"/>
      <c r="E8" s="29" t="s">
        <v>130</v>
      </c>
      <c r="F8" s="30">
        <v>1</v>
      </c>
      <c r="G8" s="20" t="s">
        <v>22</v>
      </c>
      <c r="H8" s="19">
        <f>Asumsi!E17</f>
        <v>12500</v>
      </c>
      <c r="I8" s="19">
        <f t="shared" si="0"/>
        <v>12500</v>
      </c>
    </row>
    <row r="9" spans="1:9" ht="18" customHeight="1" x14ac:dyDescent="0.2">
      <c r="A9" s="23">
        <v>3</v>
      </c>
      <c r="B9" s="3" t="s">
        <v>131</v>
      </c>
      <c r="C9" s="3"/>
      <c r="D9" s="3"/>
      <c r="E9" s="24" t="s">
        <v>132</v>
      </c>
      <c r="F9" s="25">
        <v>1</v>
      </c>
      <c r="G9" s="26" t="s">
        <v>22</v>
      </c>
      <c r="H9" s="27">
        <f>Asumsi!E18</f>
        <v>32000</v>
      </c>
      <c r="I9" s="27">
        <f t="shared" si="0"/>
        <v>32000</v>
      </c>
    </row>
    <row r="10" spans="1:9" ht="18" customHeight="1" x14ac:dyDescent="0.2">
      <c r="A10" s="28">
        <v>4</v>
      </c>
      <c r="B10" s="2" t="s">
        <v>133</v>
      </c>
      <c r="C10" s="2"/>
      <c r="D10" s="2"/>
      <c r="E10" s="29" t="s">
        <v>134</v>
      </c>
      <c r="F10" s="30">
        <v>1</v>
      </c>
      <c r="G10" s="20" t="s">
        <v>22</v>
      </c>
      <c r="H10" s="19">
        <f>Asumsi!E19</f>
        <v>0</v>
      </c>
      <c r="I10" s="19">
        <f t="shared" si="0"/>
        <v>0</v>
      </c>
    </row>
    <row r="11" spans="1:9" ht="18" customHeight="1" x14ac:dyDescent="0.2">
      <c r="A11" s="23">
        <v>5</v>
      </c>
      <c r="B11" s="3" t="s">
        <v>135</v>
      </c>
      <c r="C11" s="3"/>
      <c r="D11" s="3"/>
      <c r="E11" s="24" t="s">
        <v>136</v>
      </c>
      <c r="F11" s="25">
        <v>1</v>
      </c>
      <c r="G11" s="26" t="s">
        <v>22</v>
      </c>
      <c r="H11" s="27">
        <f>Asumsi!E20</f>
        <v>0</v>
      </c>
      <c r="I11" s="27">
        <f t="shared" si="0"/>
        <v>0</v>
      </c>
    </row>
    <row r="12" spans="1:9" ht="18" customHeight="1" x14ac:dyDescent="0.2">
      <c r="A12" s="28">
        <v>6</v>
      </c>
      <c r="B12" s="2" t="s">
        <v>137</v>
      </c>
      <c r="C12" s="2"/>
      <c r="D12" s="2"/>
      <c r="E12" s="29" t="s">
        <v>138</v>
      </c>
      <c r="F12" s="30">
        <v>1</v>
      </c>
      <c r="G12" s="20" t="s">
        <v>22</v>
      </c>
      <c r="H12" s="19">
        <f>Asumsi!E21</f>
        <v>96000</v>
      </c>
      <c r="I12" s="19">
        <f t="shared" si="0"/>
        <v>96000</v>
      </c>
    </row>
    <row r="13" spans="1:9" ht="18" customHeight="1" x14ac:dyDescent="0.2">
      <c r="A13" s="23">
        <v>7</v>
      </c>
      <c r="B13" s="3" t="s">
        <v>139</v>
      </c>
      <c r="C13" s="3"/>
      <c r="D13" s="3"/>
      <c r="E13" s="24" t="s">
        <v>140</v>
      </c>
      <c r="F13" s="25">
        <v>1</v>
      </c>
      <c r="G13" s="26" t="s">
        <v>22</v>
      </c>
      <c r="H13" s="27">
        <f>Asumsi!E22</f>
        <v>0</v>
      </c>
      <c r="I13" s="27">
        <f t="shared" si="0"/>
        <v>0</v>
      </c>
    </row>
    <row r="14" spans="1:9" ht="18" customHeight="1" x14ac:dyDescent="0.2">
      <c r="A14" s="1" t="s">
        <v>141</v>
      </c>
      <c r="B14" s="1"/>
      <c r="C14" s="1"/>
      <c r="D14" s="1"/>
      <c r="E14" s="1"/>
      <c r="F14" s="1"/>
      <c r="G14" s="1"/>
      <c r="H14" s="1"/>
      <c r="I14" s="31">
        <f>SUM(I7:I13)</f>
        <v>268500</v>
      </c>
    </row>
    <row r="16" spans="1:9" ht="18" customHeight="1" x14ac:dyDescent="0.2">
      <c r="A16" s="11" t="s">
        <v>142</v>
      </c>
      <c r="B16" s="11"/>
      <c r="C16" s="11"/>
      <c r="D16" s="11"/>
      <c r="E16" s="11"/>
      <c r="F16" s="11"/>
      <c r="G16" s="11"/>
      <c r="H16" s="11"/>
      <c r="I16" s="11"/>
    </row>
    <row r="17" spans="1:9" ht="18" customHeight="1" x14ac:dyDescent="0.2">
      <c r="A17" s="23">
        <v>8</v>
      </c>
      <c r="B17" s="3" t="s">
        <v>143</v>
      </c>
      <c r="C17" s="3"/>
      <c r="D17" s="3"/>
      <c r="E17" s="24" t="s">
        <v>144</v>
      </c>
      <c r="F17" s="27">
        <f>Asumsi!E26</f>
        <v>500</v>
      </c>
      <c r="G17" s="26" t="s">
        <v>46</v>
      </c>
      <c r="H17" s="27">
        <f>Asumsi!E27</f>
        <v>50</v>
      </c>
      <c r="I17" s="27">
        <f>F17*H17</f>
        <v>25000</v>
      </c>
    </row>
    <row r="18" spans="1:9" ht="18" customHeight="1" x14ac:dyDescent="0.2">
      <c r="A18" s="28">
        <v>9</v>
      </c>
      <c r="B18" s="2" t="s">
        <v>145</v>
      </c>
      <c r="C18" s="2"/>
      <c r="D18" s="2"/>
      <c r="E18" s="29" t="s">
        <v>146</v>
      </c>
      <c r="F18" s="19">
        <f>Asumsi!E28</f>
        <v>200</v>
      </c>
      <c r="G18" s="20" t="s">
        <v>46</v>
      </c>
      <c r="H18" s="19">
        <f>Asumsi!E29</f>
        <v>480</v>
      </c>
      <c r="I18" s="19">
        <f>F18*H18</f>
        <v>96000</v>
      </c>
    </row>
    <row r="19" spans="1:9" ht="18" customHeight="1" x14ac:dyDescent="0.2">
      <c r="A19" s="23">
        <v>10</v>
      </c>
      <c r="B19" s="3" t="s">
        <v>147</v>
      </c>
      <c r="C19" s="3"/>
      <c r="D19" s="3"/>
      <c r="E19" s="24" t="s">
        <v>148</v>
      </c>
      <c r="F19" s="27">
        <f>Asumsi!E30</f>
        <v>300</v>
      </c>
      <c r="G19" s="26" t="s">
        <v>46</v>
      </c>
      <c r="H19" s="27">
        <f>Asumsi!E31</f>
        <v>240</v>
      </c>
      <c r="I19" s="27">
        <f>F19*H19</f>
        <v>72000</v>
      </c>
    </row>
    <row r="20" spans="1:9" ht="18" customHeight="1" x14ac:dyDescent="0.2">
      <c r="A20" s="28">
        <v>11</v>
      </c>
      <c r="B20" s="2" t="s">
        <v>149</v>
      </c>
      <c r="C20" s="2"/>
      <c r="D20" s="2"/>
      <c r="E20" s="29" t="s">
        <v>150</v>
      </c>
      <c r="F20" s="19">
        <f>Asumsi!E32</f>
        <v>1000</v>
      </c>
      <c r="G20" s="20" t="s">
        <v>66</v>
      </c>
      <c r="H20" s="19">
        <f>Asumsi!E33</f>
        <v>0</v>
      </c>
      <c r="I20" s="19">
        <f>F20*H20</f>
        <v>0</v>
      </c>
    </row>
    <row r="21" spans="1:9" ht="18" customHeight="1" x14ac:dyDescent="0.2">
      <c r="A21" s="23">
        <v>12</v>
      </c>
      <c r="B21" s="3" t="s">
        <v>151</v>
      </c>
      <c r="C21" s="3"/>
      <c r="D21" s="3"/>
      <c r="E21" s="24" t="s">
        <v>152</v>
      </c>
      <c r="F21" s="27">
        <f>Asumsi!E34</f>
        <v>5000</v>
      </c>
      <c r="G21" s="26" t="s">
        <v>74</v>
      </c>
      <c r="H21" s="27">
        <f>Asumsi!E35</f>
        <v>0</v>
      </c>
      <c r="I21" s="27">
        <f>F21*H21</f>
        <v>0</v>
      </c>
    </row>
    <row r="22" spans="1:9" ht="18" customHeight="1" x14ac:dyDescent="0.2">
      <c r="A22" s="1" t="s">
        <v>153</v>
      </c>
      <c r="B22" s="1"/>
      <c r="C22" s="1"/>
      <c r="D22" s="1"/>
      <c r="E22" s="1"/>
      <c r="F22" s="1"/>
      <c r="G22" s="1"/>
      <c r="H22" s="1"/>
      <c r="I22" s="31">
        <f>SUM(I17:I21)</f>
        <v>193000</v>
      </c>
    </row>
    <row r="24" spans="1:9" ht="18" customHeight="1" x14ac:dyDescent="0.2">
      <c r="A24" s="11" t="s">
        <v>154</v>
      </c>
      <c r="B24" s="11"/>
      <c r="C24" s="11"/>
      <c r="D24" s="11"/>
      <c r="E24" s="11"/>
      <c r="F24" s="11"/>
      <c r="G24" s="11"/>
      <c r="H24" s="11"/>
      <c r="I24" s="11"/>
    </row>
    <row r="25" spans="1:9" ht="18" customHeight="1" x14ac:dyDescent="0.2">
      <c r="A25" s="23">
        <v>13</v>
      </c>
      <c r="B25" s="3" t="s">
        <v>155</v>
      </c>
      <c r="C25" s="3"/>
      <c r="D25" s="3"/>
      <c r="E25" s="24" t="s">
        <v>156</v>
      </c>
      <c r="F25" s="25">
        <v>1</v>
      </c>
      <c r="G25" s="26" t="s">
        <v>157</v>
      </c>
      <c r="H25" s="27">
        <v>0</v>
      </c>
      <c r="I25" s="27">
        <f>F25*H25</f>
        <v>0</v>
      </c>
    </row>
    <row r="26" spans="1:9" ht="18" customHeight="1" x14ac:dyDescent="0.2">
      <c r="A26" s="28">
        <v>14</v>
      </c>
      <c r="B26" s="2" t="s">
        <v>158</v>
      </c>
      <c r="C26" s="2"/>
      <c r="D26" s="2"/>
      <c r="E26" s="29" t="s">
        <v>159</v>
      </c>
      <c r="F26" s="30">
        <v>1</v>
      </c>
      <c r="G26" s="20" t="s">
        <v>22</v>
      </c>
      <c r="H26" s="19">
        <v>0</v>
      </c>
      <c r="I26" s="19">
        <f>H26</f>
        <v>0</v>
      </c>
    </row>
    <row r="27" spans="1:9" ht="18" customHeight="1" x14ac:dyDescent="0.2">
      <c r="A27" s="23">
        <v>15</v>
      </c>
      <c r="B27" s="3" t="s">
        <v>160</v>
      </c>
      <c r="C27" s="3"/>
      <c r="D27" s="3"/>
      <c r="E27" s="24" t="s">
        <v>161</v>
      </c>
      <c r="F27" s="25">
        <v>1</v>
      </c>
      <c r="G27" s="26" t="s">
        <v>22</v>
      </c>
      <c r="H27" s="25">
        <v>0</v>
      </c>
      <c r="I27" s="27">
        <f>F27*H27</f>
        <v>0</v>
      </c>
    </row>
    <row r="28" spans="1:9" ht="18" customHeight="1" x14ac:dyDescent="0.2">
      <c r="A28" s="28">
        <v>16</v>
      </c>
      <c r="B28" s="2" t="s">
        <v>162</v>
      </c>
      <c r="C28" s="2"/>
      <c r="D28" s="2"/>
      <c r="E28" s="29" t="s">
        <v>161</v>
      </c>
      <c r="F28" s="30">
        <v>1</v>
      </c>
      <c r="G28" s="20" t="s">
        <v>22</v>
      </c>
      <c r="H28" s="30">
        <v>0</v>
      </c>
      <c r="I28" s="19">
        <f>F28*H28</f>
        <v>0</v>
      </c>
    </row>
    <row r="29" spans="1:9" ht="18" customHeight="1" x14ac:dyDescent="0.2">
      <c r="A29" s="23">
        <v>17</v>
      </c>
      <c r="B29" s="3" t="s">
        <v>163</v>
      </c>
      <c r="C29" s="3"/>
      <c r="D29" s="3"/>
      <c r="E29" s="24" t="s">
        <v>164</v>
      </c>
      <c r="F29" s="25">
        <v>1</v>
      </c>
      <c r="G29" s="26" t="s">
        <v>22</v>
      </c>
      <c r="H29" s="25">
        <v>0</v>
      </c>
      <c r="I29" s="27">
        <f>F29*H29</f>
        <v>0</v>
      </c>
    </row>
    <row r="30" spans="1:9" ht="18" customHeight="1" x14ac:dyDescent="0.2">
      <c r="A30" s="28">
        <v>18</v>
      </c>
      <c r="B30" s="2" t="s">
        <v>165</v>
      </c>
      <c r="C30" s="2"/>
      <c r="D30" s="2"/>
      <c r="E30" s="29" t="s">
        <v>164</v>
      </c>
      <c r="F30" s="30">
        <v>1</v>
      </c>
      <c r="G30" s="20" t="s">
        <v>22</v>
      </c>
      <c r="H30" s="30">
        <v>0</v>
      </c>
      <c r="I30" s="19">
        <f>F30*H30</f>
        <v>0</v>
      </c>
    </row>
    <row r="31" spans="1:9" ht="18" customHeight="1" x14ac:dyDescent="0.2">
      <c r="A31" s="1" t="s">
        <v>166</v>
      </c>
      <c r="B31" s="1"/>
      <c r="C31" s="1"/>
      <c r="D31" s="1"/>
      <c r="E31" s="1"/>
      <c r="F31" s="1"/>
      <c r="G31" s="1"/>
      <c r="H31" s="1"/>
      <c r="I31" s="31">
        <f>SUM(I25:I30)</f>
        <v>0</v>
      </c>
    </row>
    <row r="33" spans="1:9" ht="18" customHeight="1" x14ac:dyDescent="0.2">
      <c r="A33" s="11" t="s">
        <v>167</v>
      </c>
      <c r="B33" s="11"/>
      <c r="C33" s="11"/>
      <c r="D33" s="11"/>
      <c r="E33" s="11"/>
      <c r="F33" s="11"/>
      <c r="G33" s="11"/>
      <c r="H33" s="11"/>
      <c r="I33" s="11"/>
    </row>
    <row r="34" spans="1:9" ht="18" customHeight="1" x14ac:dyDescent="0.2">
      <c r="A34" s="28">
        <v>19</v>
      </c>
      <c r="B34" s="2" t="s">
        <v>168</v>
      </c>
      <c r="C34" s="2"/>
      <c r="D34" s="2"/>
      <c r="E34" s="29" t="s">
        <v>169</v>
      </c>
      <c r="F34" s="19">
        <f>Asumsi!E43</f>
        <v>5</v>
      </c>
      <c r="G34" s="20" t="s">
        <v>92</v>
      </c>
      <c r="H34" s="19">
        <f>Asumsi!E44</f>
        <v>40000</v>
      </c>
      <c r="I34" s="19">
        <f>F34*H34</f>
        <v>200000</v>
      </c>
    </row>
    <row r="35" spans="1:9" ht="18" customHeight="1" x14ac:dyDescent="0.2">
      <c r="A35" s="23">
        <v>20</v>
      </c>
      <c r="B35" s="3" t="s">
        <v>170</v>
      </c>
      <c r="C35" s="3"/>
      <c r="D35" s="3"/>
      <c r="E35" s="24" t="s">
        <v>171</v>
      </c>
      <c r="F35" s="25">
        <v>1</v>
      </c>
      <c r="G35" s="26" t="s">
        <v>22</v>
      </c>
      <c r="H35" s="27">
        <f>Asumsi!E45</f>
        <v>60000</v>
      </c>
      <c r="I35" s="27">
        <f>F35*H35</f>
        <v>60000</v>
      </c>
    </row>
    <row r="36" spans="1:9" ht="18" customHeight="1" x14ac:dyDescent="0.2">
      <c r="A36" s="28">
        <v>21</v>
      </c>
      <c r="B36" s="2" t="s">
        <v>172</v>
      </c>
      <c r="C36" s="2"/>
      <c r="D36" s="2"/>
      <c r="E36" s="29" t="s">
        <v>161</v>
      </c>
      <c r="F36" s="30">
        <v>1</v>
      </c>
      <c r="G36" s="20" t="s">
        <v>22</v>
      </c>
      <c r="H36" s="30">
        <v>0</v>
      </c>
      <c r="I36" s="19">
        <f>F36*H36</f>
        <v>0</v>
      </c>
    </row>
    <row r="37" spans="1:9" ht="18" customHeight="1" x14ac:dyDescent="0.2">
      <c r="A37" s="23">
        <v>22</v>
      </c>
      <c r="B37" s="3" t="s">
        <v>173</v>
      </c>
      <c r="C37" s="3"/>
      <c r="D37" s="3"/>
      <c r="E37" s="24" t="s">
        <v>174</v>
      </c>
      <c r="F37" s="25">
        <v>1</v>
      </c>
      <c r="G37" s="26" t="s">
        <v>22</v>
      </c>
      <c r="H37" s="25">
        <v>0</v>
      </c>
      <c r="I37" s="27">
        <f>F37*H37</f>
        <v>0</v>
      </c>
    </row>
    <row r="38" spans="1:9" ht="18" customHeight="1" x14ac:dyDescent="0.2">
      <c r="A38" s="1" t="s">
        <v>175</v>
      </c>
      <c r="B38" s="1"/>
      <c r="C38" s="1"/>
      <c r="D38" s="1"/>
      <c r="E38" s="1"/>
      <c r="F38" s="1"/>
      <c r="G38" s="1"/>
      <c r="H38" s="1"/>
      <c r="I38" s="31">
        <f>SUM(I34:I37)</f>
        <v>260000</v>
      </c>
    </row>
    <row r="40" spans="1:9" ht="18" customHeight="1" x14ac:dyDescent="0.2">
      <c r="A40" s="11" t="s">
        <v>176</v>
      </c>
      <c r="B40" s="11"/>
      <c r="C40" s="11"/>
      <c r="D40" s="11"/>
      <c r="E40" s="11"/>
      <c r="F40" s="11"/>
      <c r="G40" s="11"/>
      <c r="H40" s="11"/>
      <c r="I40" s="11"/>
    </row>
    <row r="41" spans="1:9" ht="18" customHeight="1" x14ac:dyDescent="0.2">
      <c r="A41" s="23">
        <v>23</v>
      </c>
      <c r="B41" s="3" t="s">
        <v>177</v>
      </c>
      <c r="C41" s="3"/>
      <c r="D41" s="3"/>
      <c r="E41" s="24" t="s">
        <v>178</v>
      </c>
      <c r="F41" s="27">
        <f>Asumsi!E49</f>
        <v>50</v>
      </c>
      <c r="G41" s="26" t="s">
        <v>100</v>
      </c>
      <c r="H41" s="27">
        <f>Asumsi!E50</f>
        <v>1500</v>
      </c>
      <c r="I41" s="27">
        <f>F41*H41</f>
        <v>75000</v>
      </c>
    </row>
    <row r="42" spans="1:9" ht="18" customHeight="1" x14ac:dyDescent="0.2">
      <c r="A42" s="28">
        <v>24</v>
      </c>
      <c r="B42" s="2" t="s">
        <v>179</v>
      </c>
      <c r="C42" s="2"/>
      <c r="D42" s="2"/>
      <c r="E42" s="29" t="s">
        <v>180</v>
      </c>
      <c r="F42" s="19">
        <f>Asumsi!E51</f>
        <v>2</v>
      </c>
      <c r="G42" s="20" t="s">
        <v>106</v>
      </c>
      <c r="H42" s="19">
        <f>Asumsi!E52</f>
        <v>100000</v>
      </c>
      <c r="I42" s="19">
        <f>F42*H42</f>
        <v>200000</v>
      </c>
    </row>
    <row r="43" spans="1:9" ht="18" customHeight="1" x14ac:dyDescent="0.2">
      <c r="A43" s="23">
        <v>25</v>
      </c>
      <c r="B43" s="3" t="s">
        <v>181</v>
      </c>
      <c r="C43" s="3"/>
      <c r="D43" s="3"/>
      <c r="E43" s="24" t="s">
        <v>182</v>
      </c>
      <c r="F43" s="25">
        <v>1</v>
      </c>
      <c r="G43" s="26" t="s">
        <v>22</v>
      </c>
      <c r="H43" s="27">
        <f>Asumsi!E53</f>
        <v>150000</v>
      </c>
      <c r="I43" s="27">
        <f>F43*H43</f>
        <v>150000</v>
      </c>
    </row>
    <row r="44" spans="1:9" ht="18" customHeight="1" x14ac:dyDescent="0.2">
      <c r="A44" s="28">
        <v>26</v>
      </c>
      <c r="B44" s="2" t="s">
        <v>183</v>
      </c>
      <c r="C44" s="2"/>
      <c r="D44" s="2"/>
      <c r="E44" s="29" t="s">
        <v>184</v>
      </c>
      <c r="F44" s="30">
        <v>1</v>
      </c>
      <c r="G44" s="20" t="s">
        <v>185</v>
      </c>
      <c r="H44" s="19">
        <f>Asumsi!E54</f>
        <v>75000</v>
      </c>
      <c r="I44" s="19">
        <f>F44*H44</f>
        <v>75000</v>
      </c>
    </row>
    <row r="45" spans="1:9" ht="18" customHeight="1" x14ac:dyDescent="0.2">
      <c r="A45" s="23">
        <v>27</v>
      </c>
      <c r="B45" s="3" t="s">
        <v>186</v>
      </c>
      <c r="C45" s="3"/>
      <c r="D45" s="3"/>
      <c r="E45" s="24" t="s">
        <v>187</v>
      </c>
      <c r="F45" s="25">
        <v>1</v>
      </c>
      <c r="G45" s="26" t="s">
        <v>22</v>
      </c>
      <c r="H45" s="27">
        <f>Asumsi!E55</f>
        <v>50000</v>
      </c>
      <c r="I45" s="27">
        <f>F45*H45</f>
        <v>50000</v>
      </c>
    </row>
    <row r="46" spans="1:9" ht="18" customHeight="1" x14ac:dyDescent="0.2">
      <c r="A46" s="1" t="s">
        <v>188</v>
      </c>
      <c r="B46" s="1"/>
      <c r="C46" s="1"/>
      <c r="D46" s="1"/>
      <c r="E46" s="1"/>
      <c r="F46" s="1"/>
      <c r="G46" s="1"/>
      <c r="H46" s="1"/>
      <c r="I46" s="31">
        <f>SUM(I41:I45)</f>
        <v>550000</v>
      </c>
    </row>
    <row r="48" spans="1:9" ht="19.5" customHeight="1" x14ac:dyDescent="0.2">
      <c r="A48" s="64" t="s">
        <v>189</v>
      </c>
      <c r="B48" s="64"/>
      <c r="C48" s="64"/>
      <c r="D48" s="64"/>
      <c r="E48" s="64"/>
      <c r="F48" s="64"/>
      <c r="G48" s="64"/>
      <c r="H48" s="64"/>
      <c r="I48" s="32">
        <f>I14+I22+I31+I38+I46</f>
        <v>1271500</v>
      </c>
    </row>
    <row r="49" spans="1:9" ht="18" customHeight="1" x14ac:dyDescent="0.2">
      <c r="A49" s="65" t="s">
        <v>190</v>
      </c>
      <c r="B49" s="65"/>
      <c r="C49" s="65"/>
      <c r="D49" s="65"/>
      <c r="E49" s="65"/>
      <c r="F49" s="65"/>
      <c r="G49" s="65"/>
      <c r="H49" s="65"/>
      <c r="I49" s="33">
        <f>I48/Asumsi!E8</f>
        <v>635.75</v>
      </c>
    </row>
    <row r="50" spans="1:9" ht="18" customHeight="1" x14ac:dyDescent="0.2">
      <c r="A50" s="65" t="s">
        <v>191</v>
      </c>
      <c r="B50" s="65"/>
      <c r="C50" s="65"/>
      <c r="D50" s="65"/>
      <c r="E50" s="65"/>
      <c r="F50" s="65"/>
      <c r="G50" s="65"/>
      <c r="H50" s="65"/>
      <c r="I50" s="33">
        <f>Asumsi!E10*Asumsi!E11</f>
        <v>3200000</v>
      </c>
    </row>
    <row r="51" spans="1:9" ht="19.5" customHeight="1" x14ac:dyDescent="0.2">
      <c r="A51" s="66" t="s">
        <v>192</v>
      </c>
      <c r="B51" s="66"/>
      <c r="C51" s="66"/>
      <c r="D51" s="66"/>
      <c r="E51" s="66"/>
      <c r="F51" s="66"/>
      <c r="G51" s="66"/>
      <c r="H51" s="66"/>
      <c r="I51" s="34">
        <f>I50-I48</f>
        <v>1928500</v>
      </c>
    </row>
    <row r="52" spans="1:9" ht="19.5" customHeight="1" x14ac:dyDescent="0.2">
      <c r="A52" s="66" t="s">
        <v>193</v>
      </c>
      <c r="B52" s="66"/>
      <c r="C52" s="66"/>
      <c r="D52" s="66"/>
      <c r="E52" s="66"/>
      <c r="F52" s="66"/>
      <c r="G52" s="66"/>
      <c r="H52" s="66"/>
      <c r="I52" s="35">
        <f>IF(I50&gt;0,I51/I50,0)</f>
        <v>0.60265625</v>
      </c>
    </row>
    <row r="53" spans="1:9" ht="21.75" customHeight="1" x14ac:dyDescent="0.2">
      <c r="A53" s="67" t="s">
        <v>194</v>
      </c>
      <c r="B53" s="67"/>
      <c r="C53" s="67"/>
      <c r="D53" s="67"/>
      <c r="E53" s="67"/>
      <c r="F53" s="67"/>
      <c r="G53" s="67"/>
      <c r="H53" s="67"/>
      <c r="I53" s="36">
        <f>CEILING(I48/Asumsi!E11,1)</f>
        <v>64</v>
      </c>
    </row>
    <row r="54" spans="1:9" ht="31.5" customHeight="1" x14ac:dyDescent="0.2">
      <c r="A54" s="68" t="s">
        <v>195</v>
      </c>
      <c r="B54" s="68"/>
      <c r="C54" s="68"/>
      <c r="D54" s="68"/>
      <c r="E54" s="68"/>
      <c r="F54" s="68"/>
      <c r="G54" s="68"/>
      <c r="H54" s="68"/>
      <c r="I54" s="68"/>
    </row>
  </sheetData>
  <mergeCells count="48">
    <mergeCell ref="A52:H52"/>
    <mergeCell ref="A53:H53"/>
    <mergeCell ref="A54:I54"/>
    <mergeCell ref="A46:H46"/>
    <mergeCell ref="A48:H48"/>
    <mergeCell ref="A49:H49"/>
    <mergeCell ref="A50:H50"/>
    <mergeCell ref="A51:H51"/>
    <mergeCell ref="B41:D41"/>
    <mergeCell ref="B42:D42"/>
    <mergeCell ref="B43:D43"/>
    <mergeCell ref="B44:D44"/>
    <mergeCell ref="B45:D45"/>
    <mergeCell ref="B35:D35"/>
    <mergeCell ref="B36:D36"/>
    <mergeCell ref="B37:D37"/>
    <mergeCell ref="A38:H38"/>
    <mergeCell ref="A40:I40"/>
    <mergeCell ref="B29:D29"/>
    <mergeCell ref="B30:D30"/>
    <mergeCell ref="A31:H31"/>
    <mergeCell ref="A33:I33"/>
    <mergeCell ref="B34:D34"/>
    <mergeCell ref="A24:I24"/>
    <mergeCell ref="B25:D25"/>
    <mergeCell ref="B26:D26"/>
    <mergeCell ref="B27:D27"/>
    <mergeCell ref="B28:D28"/>
    <mergeCell ref="B18:D18"/>
    <mergeCell ref="B19:D19"/>
    <mergeCell ref="B20:D20"/>
    <mergeCell ref="B21:D21"/>
    <mergeCell ref="A22:H22"/>
    <mergeCell ref="B12:D12"/>
    <mergeCell ref="B13:D13"/>
    <mergeCell ref="A14:H14"/>
    <mergeCell ref="A16:I16"/>
    <mergeCell ref="B17:D17"/>
    <mergeCell ref="B7:D7"/>
    <mergeCell ref="B8:D8"/>
    <mergeCell ref="B9:D9"/>
    <mergeCell ref="B10:D10"/>
    <mergeCell ref="B11:D11"/>
    <mergeCell ref="A1:H1"/>
    <mergeCell ref="A2:H2"/>
    <mergeCell ref="A3:I3"/>
    <mergeCell ref="B5:D5"/>
    <mergeCell ref="A6:I6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6"/>
  <sheetViews>
    <sheetView zoomScale="150" zoomScaleNormal="100" workbookViewId="0">
      <pane ySplit="3" topLeftCell="A4" activePane="bottomLeft" state="frozen"/>
      <selection pane="bottomLeft" sqref="A1:H1"/>
    </sheetView>
  </sheetViews>
  <sheetFormatPr baseColWidth="10" defaultColWidth="8.6640625" defaultRowHeight="15" x14ac:dyDescent="0.2"/>
  <cols>
    <col min="1" max="2" width="8" customWidth="1"/>
    <col min="3" max="6" width="18" customWidth="1"/>
  </cols>
  <sheetData>
    <row r="1" spans="1:8" ht="30" customHeight="1" x14ac:dyDescent="0.2">
      <c r="A1" s="14" t="s">
        <v>196</v>
      </c>
      <c r="B1" s="14"/>
      <c r="C1" s="14"/>
      <c r="D1" s="14"/>
      <c r="E1" s="14"/>
      <c r="F1" s="14"/>
      <c r="G1" s="14"/>
      <c r="H1" s="14"/>
    </row>
    <row r="2" spans="1:8" ht="19.5" customHeight="1" x14ac:dyDescent="0.2">
      <c r="A2" s="13" t="s">
        <v>197</v>
      </c>
      <c r="B2" s="13"/>
      <c r="C2" s="13"/>
      <c r="D2" s="13"/>
      <c r="E2" s="13"/>
      <c r="F2" s="13"/>
      <c r="G2" s="13"/>
      <c r="H2" s="13"/>
    </row>
    <row r="3" spans="1:8" ht="18" customHeight="1" x14ac:dyDescent="0.2">
      <c r="A3" s="11" t="s">
        <v>198</v>
      </c>
      <c r="B3" s="11"/>
      <c r="C3" s="11"/>
      <c r="D3" s="11"/>
      <c r="E3" s="11"/>
      <c r="F3" s="11"/>
    </row>
    <row r="4" spans="1:8" ht="21.75" customHeight="1" x14ac:dyDescent="0.2">
      <c r="A4" s="10" t="s">
        <v>121</v>
      </c>
      <c r="B4" s="10"/>
      <c r="C4" s="10"/>
      <c r="D4" s="15" t="s">
        <v>199</v>
      </c>
      <c r="E4" s="15" t="s">
        <v>200</v>
      </c>
      <c r="F4" s="15" t="s">
        <v>43</v>
      </c>
    </row>
    <row r="5" spans="1:8" ht="18" customHeight="1" x14ac:dyDescent="0.2">
      <c r="A5" s="7" t="s">
        <v>201</v>
      </c>
      <c r="B5" s="7"/>
      <c r="C5" s="7"/>
      <c r="D5" s="19">
        <f>'Detail HPP'!I14</f>
        <v>268500</v>
      </c>
      <c r="E5" s="37">
        <f>D5/D10</f>
        <v>0.21116791191506096</v>
      </c>
      <c r="F5" s="38" t="s">
        <v>202</v>
      </c>
    </row>
    <row r="6" spans="1:8" ht="18" customHeight="1" x14ac:dyDescent="0.2">
      <c r="A6" s="69" t="s">
        <v>203</v>
      </c>
      <c r="B6" s="69"/>
      <c r="C6" s="69"/>
      <c r="D6" s="27">
        <f>'Detail HPP'!I22</f>
        <v>193000</v>
      </c>
      <c r="E6" s="39">
        <f>D6/D10</f>
        <v>0.15178922532441996</v>
      </c>
      <c r="F6" s="40" t="s">
        <v>204</v>
      </c>
    </row>
    <row r="7" spans="1:8" ht="18" customHeight="1" x14ac:dyDescent="0.2">
      <c r="A7" s="7" t="s">
        <v>205</v>
      </c>
      <c r="B7" s="7"/>
      <c r="C7" s="7"/>
      <c r="D7" s="19">
        <f>'Detail HPP'!I31</f>
        <v>0</v>
      </c>
      <c r="E7" s="37">
        <f>D7/D10</f>
        <v>0</v>
      </c>
      <c r="F7" s="38" t="s">
        <v>206</v>
      </c>
    </row>
    <row r="8" spans="1:8" ht="18" customHeight="1" x14ac:dyDescent="0.2">
      <c r="A8" s="69" t="s">
        <v>207</v>
      </c>
      <c r="B8" s="69"/>
      <c r="C8" s="69"/>
      <c r="D8" s="27">
        <f>'Detail HPP'!I38</f>
        <v>260000</v>
      </c>
      <c r="E8" s="39">
        <f>D8/D10</f>
        <v>0.20448289421942586</v>
      </c>
      <c r="F8" s="40" t="s">
        <v>208</v>
      </c>
    </row>
    <row r="9" spans="1:8" ht="18" customHeight="1" x14ac:dyDescent="0.2">
      <c r="A9" s="7" t="s">
        <v>209</v>
      </c>
      <c r="B9" s="7"/>
      <c r="C9" s="7"/>
      <c r="D9" s="19">
        <f>'Detail HPP'!I46</f>
        <v>550000</v>
      </c>
      <c r="E9" s="37">
        <f>D9/D10</f>
        <v>0.43255996854109319</v>
      </c>
      <c r="F9" s="38" t="s">
        <v>210</v>
      </c>
    </row>
    <row r="10" spans="1:8" ht="21.75" customHeight="1" x14ac:dyDescent="0.2">
      <c r="A10" s="70" t="s">
        <v>211</v>
      </c>
      <c r="B10" s="70"/>
      <c r="C10" s="70"/>
      <c r="D10" s="41">
        <f>'Detail HPP'!I48</f>
        <v>1271500</v>
      </c>
      <c r="E10" s="42">
        <f>100%</f>
        <v>1</v>
      </c>
      <c r="F10" s="43"/>
    </row>
    <row r="12" spans="1:8" ht="18" customHeight="1" x14ac:dyDescent="0.2">
      <c r="A12" s="11" t="s">
        <v>212</v>
      </c>
      <c r="B12" s="11"/>
      <c r="C12" s="11"/>
      <c r="D12" s="11"/>
      <c r="E12" s="11"/>
      <c r="F12" s="11"/>
    </row>
    <row r="13" spans="1:8" ht="21.75" customHeight="1" x14ac:dyDescent="0.2">
      <c r="A13" s="10" t="s">
        <v>213</v>
      </c>
      <c r="B13" s="10"/>
      <c r="C13" s="10"/>
      <c r="D13" s="15" t="s">
        <v>214</v>
      </c>
      <c r="E13" s="15" t="s">
        <v>7</v>
      </c>
      <c r="F13" s="15" t="s">
        <v>215</v>
      </c>
    </row>
    <row r="14" spans="1:8" ht="18" customHeight="1" x14ac:dyDescent="0.2">
      <c r="A14" s="71" t="s">
        <v>216</v>
      </c>
      <c r="B14" s="71"/>
      <c r="C14" s="71"/>
      <c r="D14" s="44">
        <f>Asumsi!E11</f>
        <v>20000</v>
      </c>
      <c r="E14" s="45" t="s">
        <v>217</v>
      </c>
      <c r="F14" s="23" t="s">
        <v>218</v>
      </c>
    </row>
    <row r="15" spans="1:8" ht="18" customHeight="1" x14ac:dyDescent="0.2">
      <c r="A15" s="72" t="s">
        <v>219</v>
      </c>
      <c r="B15" s="72"/>
      <c r="C15" s="72"/>
      <c r="D15" s="27">
        <f>'Detail HPP'!I49</f>
        <v>635.75</v>
      </c>
      <c r="E15" s="40" t="s">
        <v>220</v>
      </c>
      <c r="F15" s="23" t="s">
        <v>218</v>
      </c>
    </row>
    <row r="16" spans="1:8" ht="18" customHeight="1" x14ac:dyDescent="0.2">
      <c r="A16" s="73" t="s">
        <v>221</v>
      </c>
      <c r="B16" s="73"/>
      <c r="C16" s="73"/>
      <c r="D16" s="27">
        <f>'Detail HPP'!I50</f>
        <v>3200000</v>
      </c>
      <c r="E16" s="40" t="s">
        <v>222</v>
      </c>
      <c r="F16" s="46" t="s">
        <v>218</v>
      </c>
    </row>
    <row r="17" spans="1:6" ht="18" customHeight="1" x14ac:dyDescent="0.2">
      <c r="A17" s="74" t="s">
        <v>223</v>
      </c>
      <c r="B17" s="74"/>
      <c r="C17" s="74"/>
      <c r="D17" s="36">
        <f>'Detail HPP'!I51</f>
        <v>1928500</v>
      </c>
      <c r="E17" s="38" t="s">
        <v>224</v>
      </c>
      <c r="F17" s="47" t="str">
        <f>IF('Detail HPP'!I51&gt;=0,"✔ UNTUNG","✘ RUGI")</f>
        <v>✔ UNTUNG</v>
      </c>
    </row>
    <row r="18" spans="1:6" ht="18" customHeight="1" x14ac:dyDescent="0.2">
      <c r="A18" s="74" t="s">
        <v>225</v>
      </c>
      <c r="B18" s="74"/>
      <c r="C18" s="74"/>
      <c r="D18" s="48">
        <f>'Detail HPP'!I52</f>
        <v>0.60265625</v>
      </c>
      <c r="E18" s="38" t="s">
        <v>226</v>
      </c>
      <c r="F18" s="47" t="str">
        <f>IF('Detail HPP'!I52&gt;=0.5,"Sangat Baik",IF('Detail HPP'!I52&gt;0,"Cukup","Perlu Review"))</f>
        <v>Sangat Baik</v>
      </c>
    </row>
    <row r="19" spans="1:6" ht="18" customHeight="1" x14ac:dyDescent="0.2">
      <c r="A19" s="75" t="s">
        <v>227</v>
      </c>
      <c r="B19" s="75"/>
      <c r="C19" s="75"/>
      <c r="D19" s="33">
        <f>'Detail HPP'!I53</f>
        <v>64</v>
      </c>
      <c r="E19" s="49" t="s">
        <v>228</v>
      </c>
      <c r="F19" s="50" t="str">
        <f>IF('Detail HPP'!I53&lt;=Asumsi!E10,"✔ Tercapai dg asumsi saat ini","Perlu lebih banyak user")</f>
        <v>✔ Tercapai dg asumsi saat ini</v>
      </c>
    </row>
    <row r="20" spans="1:6" ht="18" customHeight="1" x14ac:dyDescent="0.2">
      <c r="A20" s="11" t="s">
        <v>229</v>
      </c>
      <c r="B20" s="11"/>
      <c r="C20" s="11"/>
      <c r="D20" s="11"/>
      <c r="E20" s="11"/>
      <c r="F20" s="11"/>
    </row>
    <row r="21" spans="1:6" ht="21.75" customHeight="1" x14ac:dyDescent="0.2">
      <c r="A21" s="10" t="s">
        <v>230</v>
      </c>
      <c r="B21" s="10"/>
      <c r="C21" s="15" t="s">
        <v>231</v>
      </c>
      <c r="D21" s="15" t="s">
        <v>232</v>
      </c>
      <c r="E21" s="15" t="s">
        <v>233</v>
      </c>
      <c r="F21" s="15" t="s">
        <v>234</v>
      </c>
    </row>
    <row r="22" spans="1:6" ht="18" customHeight="1" x14ac:dyDescent="0.2">
      <c r="A22" s="76" t="s">
        <v>235</v>
      </c>
      <c r="B22" s="76"/>
      <c r="C22" s="19">
        <f>ROUND(Asumsi!E8*0.01,0)</f>
        <v>20</v>
      </c>
      <c r="D22" s="19">
        <f>C22*Asumsi!E11</f>
        <v>400000</v>
      </c>
      <c r="E22" s="19">
        <f>'Detail HPP'!I48</f>
        <v>1271500</v>
      </c>
      <c r="F22" s="36">
        <f>D22-E22</f>
        <v>-871500</v>
      </c>
    </row>
    <row r="23" spans="1:6" ht="18" customHeight="1" x14ac:dyDescent="0.2">
      <c r="A23" s="77" t="s">
        <v>236</v>
      </c>
      <c r="B23" s="77"/>
      <c r="C23" s="51">
        <f>ROUND(Asumsi!E8*Asumsi!E9,0)</f>
        <v>160</v>
      </c>
      <c r="D23" s="51">
        <f>C23*Asumsi!E11</f>
        <v>3200000</v>
      </c>
      <c r="E23" s="51">
        <f>'Detail HPP'!I48</f>
        <v>1271500</v>
      </c>
      <c r="F23" s="44">
        <f>D23-E23</f>
        <v>1928500</v>
      </c>
    </row>
    <row r="24" spans="1:6" ht="18" customHeight="1" x14ac:dyDescent="0.2">
      <c r="A24" s="78" t="s">
        <v>237</v>
      </c>
      <c r="B24" s="78"/>
      <c r="C24" s="33">
        <f>ROUND(Asumsi!E8*0.15,0)</f>
        <v>300</v>
      </c>
      <c r="D24" s="33">
        <f>C24*Asumsi!E11</f>
        <v>6000000</v>
      </c>
      <c r="E24" s="33">
        <f>'Detail HPP'!I48</f>
        <v>1271500</v>
      </c>
      <c r="F24" s="31">
        <f>D24-E24</f>
        <v>4728500</v>
      </c>
    </row>
    <row r="26" spans="1:6" ht="27.75" customHeight="1" x14ac:dyDescent="0.2">
      <c r="A26" s="79" t="s">
        <v>238</v>
      </c>
      <c r="B26" s="79"/>
      <c r="C26" s="79"/>
      <c r="D26" s="79"/>
      <c r="E26" s="79"/>
      <c r="F26" s="79"/>
    </row>
  </sheetData>
  <mergeCells count="24">
    <mergeCell ref="A22:B22"/>
    <mergeCell ref="A23:B23"/>
    <mergeCell ref="A24:B24"/>
    <mergeCell ref="A26:F26"/>
    <mergeCell ref="A17:C17"/>
    <mergeCell ref="A18:C18"/>
    <mergeCell ref="A19:C19"/>
    <mergeCell ref="A20:F20"/>
    <mergeCell ref="A21:B21"/>
    <mergeCell ref="A12:F12"/>
    <mergeCell ref="A13:C13"/>
    <mergeCell ref="A14:C14"/>
    <mergeCell ref="A15:C15"/>
    <mergeCell ref="A16:C16"/>
    <mergeCell ref="A6:C6"/>
    <mergeCell ref="A7:C7"/>
    <mergeCell ref="A8:C8"/>
    <mergeCell ref="A9:C9"/>
    <mergeCell ref="A10:C10"/>
    <mergeCell ref="A1:H1"/>
    <mergeCell ref="A2:H2"/>
    <mergeCell ref="A3:F3"/>
    <mergeCell ref="A4:C4"/>
    <mergeCell ref="A5:C5"/>
  </mergeCell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61"/>
  <sheetViews>
    <sheetView tabSelected="1" topLeftCell="C1" zoomScale="144" zoomScaleNormal="100" workbookViewId="0">
      <pane ySplit="4" topLeftCell="A5" activePane="bottomLeft" state="frozen"/>
      <selection pane="bottomLeft" activeCell="A2" sqref="A2:J2"/>
    </sheetView>
  </sheetViews>
  <sheetFormatPr baseColWidth="10" defaultColWidth="8.6640625" defaultRowHeight="15" x14ac:dyDescent="0.2"/>
  <cols>
    <col min="1" max="1" width="12" customWidth="1"/>
    <col min="2" max="2" width="20" customWidth="1"/>
    <col min="3" max="3" width="12" customWidth="1"/>
    <col min="4" max="6" width="14" customWidth="1"/>
    <col min="7" max="7" width="18" customWidth="1"/>
    <col min="8" max="8" width="24" customWidth="1"/>
    <col min="9" max="9" width="12" customWidth="1"/>
    <col min="10" max="10" width="25.5" customWidth="1"/>
  </cols>
  <sheetData>
    <row r="1" spans="1:10" ht="30" customHeight="1" x14ac:dyDescent="0.2">
      <c r="A1" s="14" t="s">
        <v>239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19.5" customHeight="1" x14ac:dyDescent="0.2">
      <c r="A2" s="13" t="s">
        <v>240</v>
      </c>
      <c r="B2" s="13"/>
      <c r="C2" s="13"/>
      <c r="D2" s="13"/>
      <c r="E2" s="13"/>
      <c r="F2" s="13"/>
      <c r="G2" s="13"/>
      <c r="H2" s="13"/>
      <c r="I2" s="13"/>
      <c r="J2" s="13"/>
    </row>
    <row r="3" spans="1:10" ht="27.75" customHeight="1" x14ac:dyDescent="0.2">
      <c r="A3" s="80" t="s">
        <v>241</v>
      </c>
      <c r="B3" s="80"/>
      <c r="C3" s="80"/>
      <c r="D3" s="80"/>
      <c r="E3" s="80"/>
      <c r="F3" s="80"/>
      <c r="G3" s="80"/>
      <c r="H3" s="80"/>
      <c r="I3" s="80"/>
      <c r="J3" s="80"/>
    </row>
    <row r="5" spans="1:10" ht="19.5" customHeight="1" x14ac:dyDescent="0.2">
      <c r="A5" s="81" t="s">
        <v>242</v>
      </c>
      <c r="B5" s="81"/>
      <c r="C5" s="81"/>
      <c r="D5" s="81"/>
      <c r="E5" s="81"/>
      <c r="F5" s="81"/>
      <c r="G5" s="81"/>
      <c r="H5" s="81"/>
      <c r="I5" s="81"/>
      <c r="J5" s="81"/>
    </row>
    <row r="6" spans="1:10" ht="21.75" customHeight="1" x14ac:dyDescent="0.2">
      <c r="A6" s="15" t="s">
        <v>120</v>
      </c>
      <c r="B6" s="10" t="s">
        <v>121</v>
      </c>
      <c r="C6" s="10"/>
      <c r="D6" s="10"/>
      <c r="E6" s="15" t="s">
        <v>243</v>
      </c>
      <c r="F6" s="15" t="s">
        <v>244</v>
      </c>
      <c r="G6" s="15" t="s">
        <v>245</v>
      </c>
      <c r="H6" s="10" t="s">
        <v>246</v>
      </c>
      <c r="I6" s="10"/>
      <c r="J6" s="15" t="s">
        <v>247</v>
      </c>
    </row>
    <row r="7" spans="1:10" ht="16.5" customHeight="1" x14ac:dyDescent="0.2">
      <c r="A7" s="52">
        <v>1</v>
      </c>
      <c r="B7" s="73" t="s">
        <v>248</v>
      </c>
      <c r="C7" s="73"/>
      <c r="D7" s="73"/>
      <c r="E7" s="53" t="s">
        <v>249</v>
      </c>
      <c r="F7" s="25">
        <v>128000</v>
      </c>
      <c r="G7" s="54" t="s">
        <v>218</v>
      </c>
      <c r="H7" s="82" t="s">
        <v>250</v>
      </c>
      <c r="I7" s="82"/>
      <c r="J7" s="55" t="s">
        <v>251</v>
      </c>
    </row>
    <row r="8" spans="1:10" ht="16.5" customHeight="1" x14ac:dyDescent="0.2">
      <c r="A8" s="56">
        <v>2</v>
      </c>
      <c r="B8" s="83" t="s">
        <v>252</v>
      </c>
      <c r="C8" s="83"/>
      <c r="D8" s="83"/>
      <c r="E8" s="53" t="s">
        <v>249</v>
      </c>
      <c r="F8" s="30">
        <v>12500</v>
      </c>
      <c r="G8" s="57" t="s">
        <v>218</v>
      </c>
      <c r="H8" s="84" t="s">
        <v>253</v>
      </c>
      <c r="I8" s="84"/>
      <c r="J8" s="58" t="s">
        <v>251</v>
      </c>
    </row>
    <row r="9" spans="1:10" ht="16.5" customHeight="1" x14ac:dyDescent="0.2">
      <c r="A9" s="52">
        <v>3</v>
      </c>
      <c r="B9" s="73" t="s">
        <v>254</v>
      </c>
      <c r="C9" s="73"/>
      <c r="D9" s="73"/>
      <c r="E9" s="53" t="s">
        <v>249</v>
      </c>
      <c r="F9" s="25">
        <v>32000</v>
      </c>
      <c r="G9" s="54" t="s">
        <v>218</v>
      </c>
      <c r="H9" s="82" t="s">
        <v>255</v>
      </c>
      <c r="I9" s="82"/>
      <c r="J9" s="55" t="s">
        <v>251</v>
      </c>
    </row>
    <row r="10" spans="1:10" ht="16.5" customHeight="1" x14ac:dyDescent="0.2">
      <c r="A10" s="56">
        <v>4</v>
      </c>
      <c r="B10" s="83" t="s">
        <v>256</v>
      </c>
      <c r="C10" s="83"/>
      <c r="D10" s="83"/>
      <c r="E10" s="53" t="s">
        <v>249</v>
      </c>
      <c r="F10" s="30">
        <v>0</v>
      </c>
      <c r="G10" s="57" t="s">
        <v>218</v>
      </c>
      <c r="H10" s="84" t="s">
        <v>257</v>
      </c>
      <c r="I10" s="84"/>
      <c r="J10" s="58" t="s">
        <v>258</v>
      </c>
    </row>
    <row r="11" spans="1:10" ht="16.5" customHeight="1" x14ac:dyDescent="0.2">
      <c r="A11" s="52">
        <v>5</v>
      </c>
      <c r="B11" s="73" t="s">
        <v>259</v>
      </c>
      <c r="C11" s="73"/>
      <c r="D11" s="73"/>
      <c r="E11" s="53" t="s">
        <v>249</v>
      </c>
      <c r="F11" s="25">
        <v>0</v>
      </c>
      <c r="G11" s="54" t="s">
        <v>218</v>
      </c>
      <c r="H11" s="82" t="s">
        <v>260</v>
      </c>
      <c r="I11" s="82"/>
      <c r="J11" s="55" t="s">
        <v>258</v>
      </c>
    </row>
    <row r="12" spans="1:10" ht="16.5" customHeight="1" x14ac:dyDescent="0.2">
      <c r="A12" s="56">
        <v>6</v>
      </c>
      <c r="B12" s="83" t="s">
        <v>261</v>
      </c>
      <c r="C12" s="83"/>
      <c r="D12" s="83"/>
      <c r="E12" s="53" t="s">
        <v>249</v>
      </c>
      <c r="F12" s="30">
        <v>96000</v>
      </c>
      <c r="G12" s="57" t="s">
        <v>218</v>
      </c>
      <c r="H12" s="84" t="s">
        <v>262</v>
      </c>
      <c r="I12" s="84"/>
      <c r="J12" s="58" t="s">
        <v>263</v>
      </c>
    </row>
    <row r="13" spans="1:10" ht="16.5" customHeight="1" x14ac:dyDescent="0.2">
      <c r="A13" s="52">
        <v>7</v>
      </c>
      <c r="B13" s="73" t="s">
        <v>264</v>
      </c>
      <c r="C13" s="73"/>
      <c r="D13" s="73"/>
      <c r="E13" s="59" t="s">
        <v>265</v>
      </c>
      <c r="F13" s="25">
        <v>25000</v>
      </c>
      <c r="G13" s="54" t="s">
        <v>266</v>
      </c>
      <c r="H13" s="82" t="s">
        <v>267</v>
      </c>
      <c r="I13" s="82"/>
      <c r="J13" s="55" t="s">
        <v>268</v>
      </c>
    </row>
    <row r="14" spans="1:10" ht="16.5" customHeight="1" x14ac:dyDescent="0.2">
      <c r="A14" s="56">
        <v>8</v>
      </c>
      <c r="B14" s="83" t="s">
        <v>269</v>
      </c>
      <c r="C14" s="83"/>
      <c r="D14" s="83"/>
      <c r="E14" s="59" t="s">
        <v>265</v>
      </c>
      <c r="F14" s="30">
        <v>96000</v>
      </c>
      <c r="G14" s="57" t="s">
        <v>266</v>
      </c>
      <c r="H14" s="84" t="s">
        <v>270</v>
      </c>
      <c r="I14" s="84"/>
      <c r="J14" s="58" t="s">
        <v>271</v>
      </c>
    </row>
    <row r="15" spans="1:10" ht="16.5" customHeight="1" x14ac:dyDescent="0.2">
      <c r="A15" s="52">
        <v>9</v>
      </c>
      <c r="B15" s="73" t="s">
        <v>272</v>
      </c>
      <c r="C15" s="73"/>
      <c r="D15" s="73"/>
      <c r="E15" s="59" t="s">
        <v>265</v>
      </c>
      <c r="F15" s="25">
        <v>72000</v>
      </c>
      <c r="G15" s="54" t="s">
        <v>266</v>
      </c>
      <c r="H15" s="82" t="s">
        <v>273</v>
      </c>
      <c r="I15" s="82"/>
      <c r="J15" s="55" t="s">
        <v>274</v>
      </c>
    </row>
    <row r="16" spans="1:10" ht="16.5" customHeight="1" x14ac:dyDescent="0.2">
      <c r="A16" s="56">
        <v>10</v>
      </c>
      <c r="B16" s="83" t="s">
        <v>275</v>
      </c>
      <c r="C16" s="83"/>
      <c r="D16" s="83"/>
      <c r="E16" s="59" t="s">
        <v>265</v>
      </c>
      <c r="F16" s="30">
        <v>0</v>
      </c>
      <c r="G16" s="57" t="s">
        <v>276</v>
      </c>
      <c r="H16" s="84" t="s">
        <v>277</v>
      </c>
      <c r="I16" s="84"/>
      <c r="J16" s="58" t="s">
        <v>278</v>
      </c>
    </row>
    <row r="17" spans="1:10" ht="16.5" customHeight="1" x14ac:dyDescent="0.2">
      <c r="A17" s="52">
        <v>11</v>
      </c>
      <c r="B17" s="73" t="s">
        <v>279</v>
      </c>
      <c r="C17" s="73"/>
      <c r="D17" s="73"/>
      <c r="E17" s="59" t="s">
        <v>265</v>
      </c>
      <c r="F17" s="25">
        <v>0</v>
      </c>
      <c r="G17" s="54" t="s">
        <v>280</v>
      </c>
      <c r="H17" s="82" t="s">
        <v>281</v>
      </c>
      <c r="I17" s="82"/>
      <c r="J17" s="55" t="s">
        <v>278</v>
      </c>
    </row>
    <row r="18" spans="1:10" ht="16.5" customHeight="1" x14ac:dyDescent="0.2">
      <c r="A18" s="56">
        <v>12</v>
      </c>
      <c r="B18" s="83" t="s">
        <v>282</v>
      </c>
      <c r="C18" s="83"/>
      <c r="D18" s="83"/>
      <c r="E18" s="53" t="s">
        <v>249</v>
      </c>
      <c r="F18" s="30">
        <v>200000</v>
      </c>
      <c r="G18" s="57" t="s">
        <v>218</v>
      </c>
      <c r="H18" s="84" t="s">
        <v>283</v>
      </c>
      <c r="I18" s="84"/>
      <c r="J18" s="58" t="s">
        <v>284</v>
      </c>
    </row>
    <row r="19" spans="1:10" ht="16.5" customHeight="1" x14ac:dyDescent="0.2">
      <c r="A19" s="52">
        <v>13</v>
      </c>
      <c r="B19" s="73" t="s">
        <v>285</v>
      </c>
      <c r="C19" s="73"/>
      <c r="D19" s="73"/>
      <c r="E19" s="53" t="s">
        <v>249</v>
      </c>
      <c r="F19" s="25">
        <v>60000</v>
      </c>
      <c r="G19" s="54" t="s">
        <v>218</v>
      </c>
      <c r="H19" s="82" t="s">
        <v>286</v>
      </c>
      <c r="I19" s="82"/>
      <c r="J19" s="55" t="s">
        <v>284</v>
      </c>
    </row>
    <row r="20" spans="1:10" ht="16.5" customHeight="1" x14ac:dyDescent="0.2">
      <c r="A20" s="56">
        <v>14</v>
      </c>
      <c r="B20" s="83" t="s">
        <v>287</v>
      </c>
      <c r="C20" s="83"/>
      <c r="D20" s="83"/>
      <c r="E20" s="53" t="s">
        <v>249</v>
      </c>
      <c r="F20" s="30">
        <v>150000</v>
      </c>
      <c r="G20" s="57" t="s">
        <v>218</v>
      </c>
      <c r="H20" s="84" t="s">
        <v>288</v>
      </c>
      <c r="I20" s="84"/>
      <c r="J20" s="58" t="s">
        <v>289</v>
      </c>
    </row>
    <row r="21" spans="1:10" ht="16.5" customHeight="1" x14ac:dyDescent="0.2">
      <c r="A21" s="52">
        <v>15</v>
      </c>
      <c r="B21" s="73" t="s">
        <v>290</v>
      </c>
      <c r="C21" s="73"/>
      <c r="D21" s="73"/>
      <c r="E21" s="53" t="s">
        <v>249</v>
      </c>
      <c r="F21" s="25">
        <v>275000</v>
      </c>
      <c r="G21" s="54" t="s">
        <v>218</v>
      </c>
      <c r="H21" s="82" t="s">
        <v>291</v>
      </c>
      <c r="I21" s="82"/>
      <c r="J21" s="55" t="s">
        <v>292</v>
      </c>
    </row>
    <row r="22" spans="1:10" ht="16.5" customHeight="1" x14ac:dyDescent="0.2">
      <c r="A22" s="56">
        <v>16</v>
      </c>
      <c r="B22" s="83" t="s">
        <v>293</v>
      </c>
      <c r="C22" s="83"/>
      <c r="D22" s="83"/>
      <c r="E22" s="53" t="s">
        <v>249</v>
      </c>
      <c r="F22" s="30">
        <v>125000</v>
      </c>
      <c r="G22" s="57" t="s">
        <v>218</v>
      </c>
      <c r="H22" s="84" t="s">
        <v>294</v>
      </c>
      <c r="I22" s="84"/>
      <c r="J22" s="58" t="s">
        <v>292</v>
      </c>
    </row>
    <row r="23" spans="1:10" ht="18" customHeight="1" x14ac:dyDescent="0.2">
      <c r="A23" s="85" t="s">
        <v>295</v>
      </c>
      <c r="B23" s="85"/>
      <c r="C23" s="85"/>
      <c r="D23" s="85"/>
      <c r="E23" s="85"/>
      <c r="F23" s="60">
        <f>F7+F8+F9+F10+F11+F12+F18+F19+F20+F21+F22</f>
        <v>1078500</v>
      </c>
      <c r="G23" s="86" t="s">
        <v>296</v>
      </c>
      <c r="H23" s="86"/>
      <c r="I23" s="86"/>
      <c r="J23" s="86"/>
    </row>
    <row r="24" spans="1:10" ht="18" customHeight="1" x14ac:dyDescent="0.2">
      <c r="A24" s="87" t="s">
        <v>297</v>
      </c>
      <c r="B24" s="87"/>
      <c r="C24" s="87"/>
      <c r="D24" s="87"/>
      <c r="E24" s="87"/>
      <c r="F24" s="61">
        <f>F13+F14+F15+F16+F17</f>
        <v>193000</v>
      </c>
      <c r="G24" s="88" t="s">
        <v>298</v>
      </c>
      <c r="H24" s="88"/>
      <c r="I24" s="88"/>
      <c r="J24" s="88"/>
    </row>
    <row r="25" spans="1:10" ht="21.75" customHeight="1" x14ac:dyDescent="0.2">
      <c r="A25" s="89" t="s">
        <v>299</v>
      </c>
      <c r="B25" s="89"/>
      <c r="C25" s="89"/>
      <c r="D25" s="89"/>
      <c r="E25" s="89"/>
      <c r="F25" s="32">
        <f>F23+F24</f>
        <v>1271500</v>
      </c>
      <c r="G25" s="90" t="str">
        <f>F23/F25&amp;" (FC) + "&amp;F24/F25&amp;" (VC)"</f>
        <v>0,84821077467558 (FC) + 0,15178922532442 (VC)</v>
      </c>
      <c r="H25" s="90"/>
      <c r="I25" s="90"/>
      <c r="J25" s="90"/>
    </row>
    <row r="27" spans="1:10" ht="19.5" customHeight="1" x14ac:dyDescent="0.2">
      <c r="A27" s="81" t="s">
        <v>300</v>
      </c>
      <c r="B27" s="81"/>
      <c r="C27" s="81"/>
      <c r="D27" s="81"/>
      <c r="E27" s="81"/>
      <c r="F27" s="81"/>
      <c r="G27" s="81"/>
      <c r="H27" s="81"/>
      <c r="I27" s="81"/>
      <c r="J27" s="81"/>
    </row>
    <row r="28" spans="1:10" ht="21.75" customHeight="1" x14ac:dyDescent="0.2">
      <c r="A28" s="10" t="s">
        <v>213</v>
      </c>
      <c r="B28" s="10"/>
      <c r="C28" s="10"/>
      <c r="D28" s="15" t="s">
        <v>5</v>
      </c>
      <c r="E28" s="15" t="s">
        <v>301</v>
      </c>
      <c r="F28" s="10" t="s">
        <v>302</v>
      </c>
      <c r="G28" s="10"/>
      <c r="H28" s="10"/>
      <c r="I28" s="10" t="s">
        <v>303</v>
      </c>
      <c r="J28" s="10"/>
    </row>
    <row r="29" spans="1:10" ht="18" customHeight="1" x14ac:dyDescent="0.2">
      <c r="A29" s="73" t="s">
        <v>304</v>
      </c>
      <c r="B29" s="73"/>
      <c r="C29" s="73"/>
      <c r="D29" s="39">
        <f>F23/F25</f>
        <v>0.84821077467558004</v>
      </c>
      <c r="E29" s="54" t="s">
        <v>305</v>
      </c>
      <c r="F29" s="91" t="s">
        <v>306</v>
      </c>
      <c r="G29" s="91"/>
      <c r="H29" s="91"/>
      <c r="I29" s="73"/>
      <c r="J29" s="73"/>
    </row>
    <row r="30" spans="1:10" ht="18" customHeight="1" x14ac:dyDescent="0.2">
      <c r="A30" s="73" t="s">
        <v>307</v>
      </c>
      <c r="B30" s="73"/>
      <c r="C30" s="73"/>
      <c r="D30" s="39">
        <f>F24/F25</f>
        <v>0.15178922532441996</v>
      </c>
      <c r="E30" s="54" t="s">
        <v>308</v>
      </c>
      <c r="F30" s="91" t="s">
        <v>309</v>
      </c>
      <c r="G30" s="91"/>
      <c r="H30" s="91"/>
      <c r="I30" s="73"/>
      <c r="J30" s="73"/>
    </row>
    <row r="31" spans="1:10" ht="18" customHeight="1" x14ac:dyDescent="0.2">
      <c r="A31" s="73" t="s">
        <v>310</v>
      </c>
      <c r="B31" s="73"/>
      <c r="C31" s="73"/>
      <c r="D31" s="27">
        <f>F24/Asumsi!E8</f>
        <v>96.5</v>
      </c>
      <c r="E31" s="54" t="s">
        <v>311</v>
      </c>
      <c r="F31" s="91" t="s">
        <v>312</v>
      </c>
      <c r="G31" s="91"/>
      <c r="H31" s="91"/>
      <c r="I31" s="73"/>
      <c r="J31" s="73"/>
    </row>
    <row r="32" spans="1:10" ht="18" customHeight="1" x14ac:dyDescent="0.2">
      <c r="A32" s="73" t="s">
        <v>313</v>
      </c>
      <c r="B32" s="73"/>
      <c r="C32" s="73"/>
      <c r="D32" s="27">
        <f>F24/Asumsi!E10</f>
        <v>1206.25</v>
      </c>
      <c r="E32" s="54" t="s">
        <v>314</v>
      </c>
      <c r="F32" s="91" t="s">
        <v>315</v>
      </c>
      <c r="G32" s="91"/>
      <c r="H32" s="91"/>
      <c r="I32" s="73"/>
      <c r="J32" s="73"/>
    </row>
    <row r="33" spans="1:10" ht="18" customHeight="1" x14ac:dyDescent="0.2">
      <c r="A33" s="92" t="s">
        <v>316</v>
      </c>
      <c r="B33" s="92"/>
      <c r="C33" s="92"/>
      <c r="D33" s="51">
        <f>Asumsi!E11-F24/Asumsi!E10</f>
        <v>18793.75</v>
      </c>
      <c r="E33" s="62" t="s">
        <v>317</v>
      </c>
      <c r="F33" s="93" t="s">
        <v>318</v>
      </c>
      <c r="G33" s="93"/>
      <c r="H33" s="93"/>
      <c r="I33" s="94"/>
      <c r="J33" s="94"/>
    </row>
    <row r="34" spans="1:10" ht="18" customHeight="1" x14ac:dyDescent="0.2">
      <c r="A34" s="94" t="s">
        <v>319</v>
      </c>
      <c r="B34" s="94"/>
      <c r="C34" s="94"/>
      <c r="D34" s="63">
        <f>F23/(F23+F24)</f>
        <v>0.84821077467558004</v>
      </c>
      <c r="E34" s="62" t="s">
        <v>320</v>
      </c>
      <c r="F34" s="93" t="s">
        <v>321</v>
      </c>
      <c r="G34" s="93"/>
      <c r="H34" s="93"/>
      <c r="I34" s="94"/>
      <c r="J34" s="94"/>
    </row>
    <row r="36" spans="1:10" ht="19.5" customHeight="1" x14ac:dyDescent="0.2">
      <c r="A36" s="81" t="s">
        <v>322</v>
      </c>
      <c r="B36" s="81"/>
      <c r="C36" s="81"/>
      <c r="D36" s="81"/>
      <c r="E36" s="81"/>
      <c r="F36" s="81"/>
      <c r="G36" s="81"/>
      <c r="H36" s="81"/>
      <c r="I36" s="81"/>
      <c r="J36" s="81"/>
    </row>
    <row r="37" spans="1:10" ht="24" customHeight="1" x14ac:dyDescent="0.2">
      <c r="A37" s="95" t="s">
        <v>323</v>
      </c>
      <c r="B37" s="95"/>
      <c r="C37" s="95"/>
      <c r="D37" s="95"/>
      <c r="E37" s="95"/>
      <c r="F37" s="95"/>
      <c r="G37" s="95"/>
      <c r="H37" s="95"/>
      <c r="I37" s="95"/>
      <c r="J37" s="95"/>
    </row>
    <row r="38" spans="1:10" ht="21.75" customHeight="1" x14ac:dyDescent="0.2">
      <c r="A38" s="15" t="s">
        <v>324</v>
      </c>
      <c r="B38" s="15" t="s">
        <v>325</v>
      </c>
      <c r="C38" s="15" t="s">
        <v>326</v>
      </c>
      <c r="D38" s="15" t="s">
        <v>233</v>
      </c>
      <c r="E38" s="15" t="s">
        <v>232</v>
      </c>
      <c r="F38" s="15" t="s">
        <v>327</v>
      </c>
      <c r="G38" s="15" t="s">
        <v>328</v>
      </c>
      <c r="H38" s="10" t="s">
        <v>215</v>
      </c>
      <c r="I38" s="10"/>
      <c r="J38" s="15" t="s">
        <v>329</v>
      </c>
    </row>
    <row r="39" spans="1:10" ht="15.75" customHeight="1" x14ac:dyDescent="0.2">
      <c r="A39" s="30">
        <v>0</v>
      </c>
      <c r="B39" s="19">
        <f>F23</f>
        <v>1078500</v>
      </c>
      <c r="C39" s="19">
        <f>F24+(A39*1000)</f>
        <v>193000</v>
      </c>
      <c r="D39" s="19">
        <f t="shared" ref="D39:D54" si="0">B39+C39</f>
        <v>1271500</v>
      </c>
      <c r="E39" s="19">
        <f>A39*Asumsi!E11</f>
        <v>0</v>
      </c>
      <c r="F39" s="19">
        <f t="shared" ref="F39:F54" si="1">E39-D39</f>
        <v>-1271500</v>
      </c>
      <c r="G39" s="19">
        <f t="shared" ref="G39:G54" si="2">E39-C39</f>
        <v>-193000</v>
      </c>
      <c r="H39" s="96" t="str">
        <f t="shared" ref="H39:H54" si="3">IF(E39&gt;=D39,"✔ UNTUNG","✘ RUGI")</f>
        <v>✘ RUGI</v>
      </c>
      <c r="I39" s="96"/>
      <c r="J39" s="37">
        <f t="shared" ref="J39:J54" si="4">IF(E39&gt;0,(E39-D39)/E39,0)</f>
        <v>0</v>
      </c>
    </row>
    <row r="40" spans="1:10" ht="15.75" customHeight="1" x14ac:dyDescent="0.2">
      <c r="A40" s="25">
        <v>20</v>
      </c>
      <c r="B40" s="27">
        <f>F23</f>
        <v>1078500</v>
      </c>
      <c r="C40" s="27">
        <f>F24+(A40*1000)</f>
        <v>213000</v>
      </c>
      <c r="D40" s="27">
        <f t="shared" si="0"/>
        <v>1291500</v>
      </c>
      <c r="E40" s="27">
        <f>A40*Asumsi!E11</f>
        <v>400000</v>
      </c>
      <c r="F40" s="27">
        <f t="shared" si="1"/>
        <v>-891500</v>
      </c>
      <c r="G40" s="27">
        <f t="shared" si="2"/>
        <v>187000</v>
      </c>
      <c r="H40" s="97" t="str">
        <f t="shared" si="3"/>
        <v>✘ RUGI</v>
      </c>
      <c r="I40" s="97"/>
      <c r="J40" s="39">
        <f t="shared" si="4"/>
        <v>-2.2287499999999998</v>
      </c>
    </row>
    <row r="41" spans="1:10" ht="15.75" customHeight="1" x14ac:dyDescent="0.2">
      <c r="A41" s="30">
        <v>40</v>
      </c>
      <c r="B41" s="19">
        <f>F23</f>
        <v>1078500</v>
      </c>
      <c r="C41" s="19">
        <f>F24+(A41*1000)</f>
        <v>233000</v>
      </c>
      <c r="D41" s="19">
        <f t="shared" si="0"/>
        <v>1311500</v>
      </c>
      <c r="E41" s="19">
        <f>A41*Asumsi!E11</f>
        <v>800000</v>
      </c>
      <c r="F41" s="19">
        <f t="shared" si="1"/>
        <v>-511500</v>
      </c>
      <c r="G41" s="19">
        <f t="shared" si="2"/>
        <v>567000</v>
      </c>
      <c r="H41" s="96" t="str">
        <f t="shared" si="3"/>
        <v>✘ RUGI</v>
      </c>
      <c r="I41" s="96"/>
      <c r="J41" s="37">
        <f t="shared" si="4"/>
        <v>-0.63937500000000003</v>
      </c>
    </row>
    <row r="42" spans="1:10" ht="15.75" customHeight="1" x14ac:dyDescent="0.2">
      <c r="A42" s="16">
        <v>60</v>
      </c>
      <c r="B42" s="51">
        <f>F23</f>
        <v>1078500</v>
      </c>
      <c r="C42" s="51">
        <f>F24+(A42*1000)</f>
        <v>253000</v>
      </c>
      <c r="D42" s="51">
        <f t="shared" si="0"/>
        <v>1331500</v>
      </c>
      <c r="E42" s="51">
        <f>A42*Asumsi!E11</f>
        <v>1200000</v>
      </c>
      <c r="F42" s="51">
        <f t="shared" si="1"/>
        <v>-131500</v>
      </c>
      <c r="G42" s="51">
        <f t="shared" si="2"/>
        <v>947000</v>
      </c>
      <c r="H42" s="98" t="str">
        <f t="shared" si="3"/>
        <v>✘ RUGI</v>
      </c>
      <c r="I42" s="98"/>
      <c r="J42" s="63">
        <f t="shared" si="4"/>
        <v>-0.10958333333333334</v>
      </c>
    </row>
    <row r="43" spans="1:10" ht="15.75" customHeight="1" x14ac:dyDescent="0.2">
      <c r="A43" s="16">
        <v>80</v>
      </c>
      <c r="B43" s="51">
        <f>F23</f>
        <v>1078500</v>
      </c>
      <c r="C43" s="51">
        <f>F24+(A43*1000)</f>
        <v>273000</v>
      </c>
      <c r="D43" s="51">
        <f t="shared" si="0"/>
        <v>1351500</v>
      </c>
      <c r="E43" s="51">
        <f>A43*Asumsi!E11</f>
        <v>1600000</v>
      </c>
      <c r="F43" s="51">
        <f t="shared" si="1"/>
        <v>248500</v>
      </c>
      <c r="G43" s="51">
        <f t="shared" si="2"/>
        <v>1327000</v>
      </c>
      <c r="H43" s="98" t="str">
        <f t="shared" si="3"/>
        <v>✔ UNTUNG</v>
      </c>
      <c r="I43" s="98"/>
      <c r="J43" s="63">
        <f t="shared" si="4"/>
        <v>0.15531249999999999</v>
      </c>
    </row>
    <row r="44" spans="1:10" ht="15.75" customHeight="1" x14ac:dyDescent="0.2">
      <c r="A44" s="25">
        <v>100</v>
      </c>
      <c r="B44" s="27">
        <f>F23</f>
        <v>1078500</v>
      </c>
      <c r="C44" s="27">
        <f>F24+(A44*1000)</f>
        <v>293000</v>
      </c>
      <c r="D44" s="27">
        <f t="shared" si="0"/>
        <v>1371500</v>
      </c>
      <c r="E44" s="27">
        <f>A44*Asumsi!E11</f>
        <v>2000000</v>
      </c>
      <c r="F44" s="27">
        <f t="shared" si="1"/>
        <v>628500</v>
      </c>
      <c r="G44" s="27">
        <f t="shared" si="2"/>
        <v>1707000</v>
      </c>
      <c r="H44" s="97" t="str">
        <f t="shared" si="3"/>
        <v>✔ UNTUNG</v>
      </c>
      <c r="I44" s="97"/>
      <c r="J44" s="39">
        <f t="shared" si="4"/>
        <v>0.31424999999999997</v>
      </c>
    </row>
    <row r="45" spans="1:10" ht="15.75" customHeight="1" x14ac:dyDescent="0.2">
      <c r="A45" s="30">
        <v>120</v>
      </c>
      <c r="B45" s="19">
        <f>F23</f>
        <v>1078500</v>
      </c>
      <c r="C45" s="19">
        <f>F24+(A45*1000)</f>
        <v>313000</v>
      </c>
      <c r="D45" s="19">
        <f t="shared" si="0"/>
        <v>1391500</v>
      </c>
      <c r="E45" s="19">
        <f>A45*Asumsi!E11</f>
        <v>2400000</v>
      </c>
      <c r="F45" s="19">
        <f t="shared" si="1"/>
        <v>1008500</v>
      </c>
      <c r="G45" s="19">
        <f t="shared" si="2"/>
        <v>2087000</v>
      </c>
      <c r="H45" s="96" t="str">
        <f t="shared" si="3"/>
        <v>✔ UNTUNG</v>
      </c>
      <c r="I45" s="96"/>
      <c r="J45" s="37">
        <f t="shared" si="4"/>
        <v>0.42020833333333335</v>
      </c>
    </row>
    <row r="46" spans="1:10" ht="15.75" customHeight="1" x14ac:dyDescent="0.2">
      <c r="A46" s="25">
        <v>140</v>
      </c>
      <c r="B46" s="27">
        <f>F23</f>
        <v>1078500</v>
      </c>
      <c r="C46" s="27">
        <f>F24+(A46*1000)</f>
        <v>333000</v>
      </c>
      <c r="D46" s="27">
        <f t="shared" si="0"/>
        <v>1411500</v>
      </c>
      <c r="E46" s="27">
        <f>A46*Asumsi!E11</f>
        <v>2800000</v>
      </c>
      <c r="F46" s="27">
        <f t="shared" si="1"/>
        <v>1388500</v>
      </c>
      <c r="G46" s="27">
        <f t="shared" si="2"/>
        <v>2467000</v>
      </c>
      <c r="H46" s="97" t="str">
        <f t="shared" si="3"/>
        <v>✔ UNTUNG</v>
      </c>
      <c r="I46" s="97"/>
      <c r="J46" s="39">
        <f t="shared" si="4"/>
        <v>0.49589285714285714</v>
      </c>
    </row>
    <row r="47" spans="1:10" ht="15.75" customHeight="1" x14ac:dyDescent="0.2">
      <c r="A47" s="30">
        <v>160</v>
      </c>
      <c r="B47" s="19">
        <f>F23</f>
        <v>1078500</v>
      </c>
      <c r="C47" s="19">
        <f>F24+(A47*1000)</f>
        <v>353000</v>
      </c>
      <c r="D47" s="19">
        <f t="shared" si="0"/>
        <v>1431500</v>
      </c>
      <c r="E47" s="19">
        <f>A47*Asumsi!E11</f>
        <v>3200000</v>
      </c>
      <c r="F47" s="19">
        <f t="shared" si="1"/>
        <v>1768500</v>
      </c>
      <c r="G47" s="19">
        <f t="shared" si="2"/>
        <v>2847000</v>
      </c>
      <c r="H47" s="96" t="str">
        <f t="shared" si="3"/>
        <v>✔ UNTUNG</v>
      </c>
      <c r="I47" s="96"/>
      <c r="J47" s="37">
        <f t="shared" si="4"/>
        <v>0.55265624999999996</v>
      </c>
    </row>
    <row r="48" spans="1:10" ht="15.75" customHeight="1" x14ac:dyDescent="0.2">
      <c r="A48" s="25">
        <v>180</v>
      </c>
      <c r="B48" s="27">
        <f>F23</f>
        <v>1078500</v>
      </c>
      <c r="C48" s="27">
        <f>F24+(A48*1000)</f>
        <v>373000</v>
      </c>
      <c r="D48" s="27">
        <f t="shared" si="0"/>
        <v>1451500</v>
      </c>
      <c r="E48" s="27">
        <f>A48*Asumsi!E11</f>
        <v>3600000</v>
      </c>
      <c r="F48" s="27">
        <f t="shared" si="1"/>
        <v>2148500</v>
      </c>
      <c r="G48" s="27">
        <f t="shared" si="2"/>
        <v>3227000</v>
      </c>
      <c r="H48" s="97" t="str">
        <f t="shared" si="3"/>
        <v>✔ UNTUNG</v>
      </c>
      <c r="I48" s="97"/>
      <c r="J48" s="39">
        <f t="shared" si="4"/>
        <v>0.59680555555555559</v>
      </c>
    </row>
    <row r="49" spans="1:10" ht="15.75" customHeight="1" x14ac:dyDescent="0.2">
      <c r="A49" s="30">
        <v>200</v>
      </c>
      <c r="B49" s="19">
        <f>F23</f>
        <v>1078500</v>
      </c>
      <c r="C49" s="19">
        <f>F24+(A49*1000)</f>
        <v>393000</v>
      </c>
      <c r="D49" s="19">
        <f t="shared" si="0"/>
        <v>1471500</v>
      </c>
      <c r="E49" s="19">
        <f>A49*Asumsi!E11</f>
        <v>4000000</v>
      </c>
      <c r="F49" s="19">
        <f t="shared" si="1"/>
        <v>2528500</v>
      </c>
      <c r="G49" s="19">
        <f t="shared" si="2"/>
        <v>3607000</v>
      </c>
      <c r="H49" s="96" t="str">
        <f t="shared" si="3"/>
        <v>✔ UNTUNG</v>
      </c>
      <c r="I49" s="96"/>
      <c r="J49" s="37">
        <f t="shared" si="4"/>
        <v>0.63212500000000005</v>
      </c>
    </row>
    <row r="50" spans="1:10" ht="15.75" customHeight="1" x14ac:dyDescent="0.2">
      <c r="A50" s="25">
        <v>220</v>
      </c>
      <c r="B50" s="27">
        <f>F23</f>
        <v>1078500</v>
      </c>
      <c r="C50" s="27">
        <f>F24+(A50*1000)</f>
        <v>413000</v>
      </c>
      <c r="D50" s="27">
        <f t="shared" si="0"/>
        <v>1491500</v>
      </c>
      <c r="E50" s="27">
        <f>A50*Asumsi!E11</f>
        <v>4400000</v>
      </c>
      <c r="F50" s="27">
        <f t="shared" si="1"/>
        <v>2908500</v>
      </c>
      <c r="G50" s="27">
        <f t="shared" si="2"/>
        <v>3987000</v>
      </c>
      <c r="H50" s="97" t="str">
        <f t="shared" si="3"/>
        <v>✔ UNTUNG</v>
      </c>
      <c r="I50" s="97"/>
      <c r="J50" s="39">
        <f t="shared" si="4"/>
        <v>0.66102272727272726</v>
      </c>
    </row>
    <row r="51" spans="1:10" ht="15.75" customHeight="1" x14ac:dyDescent="0.2">
      <c r="A51" s="30">
        <v>240</v>
      </c>
      <c r="B51" s="19">
        <f>F23</f>
        <v>1078500</v>
      </c>
      <c r="C51" s="19">
        <f>F24+(A51*1000)</f>
        <v>433000</v>
      </c>
      <c r="D51" s="19">
        <f t="shared" si="0"/>
        <v>1511500</v>
      </c>
      <c r="E51" s="19">
        <f>A51*Asumsi!E11</f>
        <v>4800000</v>
      </c>
      <c r="F51" s="19">
        <f t="shared" si="1"/>
        <v>3288500</v>
      </c>
      <c r="G51" s="19">
        <f t="shared" si="2"/>
        <v>4367000</v>
      </c>
      <c r="H51" s="96" t="str">
        <f t="shared" si="3"/>
        <v>✔ UNTUNG</v>
      </c>
      <c r="I51" s="96"/>
      <c r="J51" s="37">
        <f t="shared" si="4"/>
        <v>0.68510416666666663</v>
      </c>
    </row>
    <row r="52" spans="1:10" ht="15.75" customHeight="1" x14ac:dyDescent="0.2">
      <c r="A52" s="25">
        <v>260</v>
      </c>
      <c r="B52" s="27">
        <f>F23</f>
        <v>1078500</v>
      </c>
      <c r="C52" s="27">
        <f>F24+(A52*1000)</f>
        <v>453000</v>
      </c>
      <c r="D52" s="27">
        <f t="shared" si="0"/>
        <v>1531500</v>
      </c>
      <c r="E52" s="27">
        <f>A52*Asumsi!E11</f>
        <v>5200000</v>
      </c>
      <c r="F52" s="27">
        <f t="shared" si="1"/>
        <v>3668500</v>
      </c>
      <c r="G52" s="27">
        <f t="shared" si="2"/>
        <v>4747000</v>
      </c>
      <c r="H52" s="97" t="str">
        <f t="shared" si="3"/>
        <v>✔ UNTUNG</v>
      </c>
      <c r="I52" s="97"/>
      <c r="J52" s="39">
        <f t="shared" si="4"/>
        <v>0.70548076923076919</v>
      </c>
    </row>
    <row r="53" spans="1:10" ht="15.75" customHeight="1" x14ac:dyDescent="0.2">
      <c r="A53" s="30">
        <v>280</v>
      </c>
      <c r="B53" s="19">
        <f>F23</f>
        <v>1078500</v>
      </c>
      <c r="C53" s="19">
        <f>F24+(A53*1000)</f>
        <v>473000</v>
      </c>
      <c r="D53" s="19">
        <f t="shared" si="0"/>
        <v>1551500</v>
      </c>
      <c r="E53" s="19">
        <f>A53*Asumsi!E11</f>
        <v>5600000</v>
      </c>
      <c r="F53" s="19">
        <f t="shared" si="1"/>
        <v>4048500</v>
      </c>
      <c r="G53" s="19">
        <f t="shared" si="2"/>
        <v>5127000</v>
      </c>
      <c r="H53" s="96" t="str">
        <f t="shared" si="3"/>
        <v>✔ UNTUNG</v>
      </c>
      <c r="I53" s="96"/>
      <c r="J53" s="37">
        <f t="shared" si="4"/>
        <v>0.72294642857142855</v>
      </c>
    </row>
    <row r="54" spans="1:10" ht="15.75" customHeight="1" x14ac:dyDescent="0.2">
      <c r="A54" s="25">
        <v>300</v>
      </c>
      <c r="B54" s="27">
        <f>F23</f>
        <v>1078500</v>
      </c>
      <c r="C54" s="27">
        <f>F24+(A54*1000)</f>
        <v>493000</v>
      </c>
      <c r="D54" s="27">
        <f t="shared" si="0"/>
        <v>1571500</v>
      </c>
      <c r="E54" s="27">
        <f>A54*Asumsi!E11</f>
        <v>6000000</v>
      </c>
      <c r="F54" s="27">
        <f t="shared" si="1"/>
        <v>4428500</v>
      </c>
      <c r="G54" s="27">
        <f t="shared" si="2"/>
        <v>5507000</v>
      </c>
      <c r="H54" s="97" t="str">
        <f t="shared" si="3"/>
        <v>✔ UNTUNG</v>
      </c>
      <c r="I54" s="97"/>
      <c r="J54" s="39">
        <f t="shared" si="4"/>
        <v>0.73808333333333331</v>
      </c>
    </row>
    <row r="56" spans="1:10" ht="19.5" customHeight="1" x14ac:dyDescent="0.2">
      <c r="A56" s="81" t="s">
        <v>330</v>
      </c>
      <c r="B56" s="81"/>
      <c r="C56" s="81"/>
      <c r="D56" s="81"/>
      <c r="E56" s="81"/>
      <c r="F56" s="81"/>
      <c r="G56" s="81"/>
      <c r="H56" s="81"/>
      <c r="I56" s="81"/>
      <c r="J56" s="81"/>
    </row>
    <row r="57" spans="1:10" ht="21.75" customHeight="1" x14ac:dyDescent="0.2">
      <c r="A57" s="99" t="s">
        <v>331</v>
      </c>
      <c r="B57" s="99"/>
      <c r="C57" s="99" t="s">
        <v>332</v>
      </c>
      <c r="D57" s="99"/>
      <c r="E57" s="99"/>
      <c r="F57" s="99" t="s">
        <v>333</v>
      </c>
      <c r="G57" s="99"/>
      <c r="H57" s="99" t="s">
        <v>246</v>
      </c>
      <c r="I57" s="99"/>
      <c r="J57" s="99"/>
    </row>
    <row r="58" spans="1:10" ht="27.75" customHeight="1" x14ac:dyDescent="0.2">
      <c r="A58" s="100" t="s">
        <v>334</v>
      </c>
      <c r="B58" s="100"/>
      <c r="C58" s="101" t="s">
        <v>335</v>
      </c>
      <c r="D58" s="101"/>
      <c r="E58" s="101"/>
      <c r="F58" s="102" t="str">
        <f>F23&amp;" ÷ (Rp20.000 − VC/user)"</f>
        <v>1078500 ÷ (Rp20.000 − VC/user)</v>
      </c>
      <c r="G58" s="102"/>
      <c r="H58" s="103" t="s">
        <v>336</v>
      </c>
      <c r="I58" s="103"/>
      <c r="J58" s="103"/>
    </row>
    <row r="59" spans="1:10" ht="27.75" customHeight="1" x14ac:dyDescent="0.2">
      <c r="A59" s="104" t="s">
        <v>337</v>
      </c>
      <c r="B59" s="104"/>
      <c r="C59" s="105" t="s">
        <v>338</v>
      </c>
      <c r="D59" s="105"/>
      <c r="E59" s="105"/>
      <c r="F59" s="106" t="str">
        <f>Asumsi!E11&amp;" − VC per user premium"</f>
        <v>20000 − VC per user premium</v>
      </c>
      <c r="G59" s="106"/>
      <c r="H59" s="91" t="s">
        <v>339</v>
      </c>
      <c r="I59" s="91"/>
      <c r="J59" s="91"/>
    </row>
    <row r="60" spans="1:10" ht="27.75" customHeight="1" x14ac:dyDescent="0.2">
      <c r="A60" s="100" t="s">
        <v>340</v>
      </c>
      <c r="B60" s="100"/>
      <c r="C60" s="101" t="s">
        <v>341</v>
      </c>
      <c r="D60" s="101"/>
      <c r="E60" s="101"/>
      <c r="F60" s="102" t="s">
        <v>342</v>
      </c>
      <c r="G60" s="102"/>
      <c r="H60" s="103" t="s">
        <v>343</v>
      </c>
      <c r="I60" s="103"/>
      <c r="J60" s="103"/>
    </row>
    <row r="61" spans="1:10" ht="27.75" customHeight="1" x14ac:dyDescent="0.2">
      <c r="A61" s="104" t="s">
        <v>344</v>
      </c>
      <c r="B61" s="104"/>
      <c r="C61" s="105" t="s">
        <v>345</v>
      </c>
      <c r="D61" s="105"/>
      <c r="E61" s="105"/>
      <c r="F61" s="106">
        <f>(E47-D47)/E47</f>
        <v>0.55265624999999996</v>
      </c>
      <c r="G61" s="106"/>
      <c r="H61" s="91" t="s">
        <v>346</v>
      </c>
      <c r="I61" s="91"/>
      <c r="J61" s="91"/>
    </row>
  </sheetData>
  <mergeCells count="106">
    <mergeCell ref="A61:B61"/>
    <mergeCell ref="C61:E61"/>
    <mergeCell ref="F61:G61"/>
    <mergeCell ref="H61:J61"/>
    <mergeCell ref="A58:B58"/>
    <mergeCell ref="C58:E58"/>
    <mergeCell ref="F58:G58"/>
    <mergeCell ref="H58:J58"/>
    <mergeCell ref="A59:B59"/>
    <mergeCell ref="C59:E59"/>
    <mergeCell ref="F59:G59"/>
    <mergeCell ref="H59:J59"/>
    <mergeCell ref="A60:B60"/>
    <mergeCell ref="C60:E60"/>
    <mergeCell ref="F60:G60"/>
    <mergeCell ref="H60:J60"/>
    <mergeCell ref="H48:I48"/>
    <mergeCell ref="H49:I49"/>
    <mergeCell ref="H50:I50"/>
    <mergeCell ref="H51:I51"/>
    <mergeCell ref="H52:I52"/>
    <mergeCell ref="H53:I53"/>
    <mergeCell ref="H54:I54"/>
    <mergeCell ref="A56:J56"/>
    <mergeCell ref="A57:B57"/>
    <mergeCell ref="C57:E57"/>
    <mergeCell ref="F57:G57"/>
    <mergeCell ref="H57:J57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A33:C33"/>
    <mergeCell ref="F33:H33"/>
    <mergeCell ref="I33:J33"/>
    <mergeCell ref="A34:C34"/>
    <mergeCell ref="F34:H34"/>
    <mergeCell ref="I34:J34"/>
    <mergeCell ref="A36:J36"/>
    <mergeCell ref="A37:J37"/>
    <mergeCell ref="H38:I38"/>
    <mergeCell ref="A30:C30"/>
    <mergeCell ref="F30:H30"/>
    <mergeCell ref="I30:J30"/>
    <mergeCell ref="A31:C31"/>
    <mergeCell ref="F31:H31"/>
    <mergeCell ref="I31:J31"/>
    <mergeCell ref="A32:C32"/>
    <mergeCell ref="F32:H32"/>
    <mergeCell ref="I32:J32"/>
    <mergeCell ref="A24:E24"/>
    <mergeCell ref="G24:J24"/>
    <mergeCell ref="A25:E25"/>
    <mergeCell ref="G25:J25"/>
    <mergeCell ref="A27:J27"/>
    <mergeCell ref="A28:C28"/>
    <mergeCell ref="F28:H28"/>
    <mergeCell ref="I28:J28"/>
    <mergeCell ref="A29:C29"/>
    <mergeCell ref="F29:H29"/>
    <mergeCell ref="I29:J29"/>
    <mergeCell ref="B19:D19"/>
    <mergeCell ref="H19:I19"/>
    <mergeCell ref="B20:D20"/>
    <mergeCell ref="H20:I20"/>
    <mergeCell ref="B21:D21"/>
    <mergeCell ref="H21:I21"/>
    <mergeCell ref="B22:D22"/>
    <mergeCell ref="H22:I22"/>
    <mergeCell ref="A23:E23"/>
    <mergeCell ref="G23:J23"/>
    <mergeCell ref="B14:D14"/>
    <mergeCell ref="H14:I14"/>
    <mergeCell ref="B15:D15"/>
    <mergeCell ref="H15:I15"/>
    <mergeCell ref="B16:D16"/>
    <mergeCell ref="H16:I16"/>
    <mergeCell ref="B17:D17"/>
    <mergeCell ref="H17:I17"/>
    <mergeCell ref="B18:D18"/>
    <mergeCell ref="H18:I18"/>
    <mergeCell ref="B9:D9"/>
    <mergeCell ref="H9:I9"/>
    <mergeCell ref="B10:D10"/>
    <mergeCell ref="H10:I10"/>
    <mergeCell ref="B11:D11"/>
    <mergeCell ref="H11:I11"/>
    <mergeCell ref="B12:D12"/>
    <mergeCell ref="H12:I12"/>
    <mergeCell ref="B13:D13"/>
    <mergeCell ref="H13:I13"/>
    <mergeCell ref="A1:J1"/>
    <mergeCell ref="A2:J2"/>
    <mergeCell ref="A3:J3"/>
    <mergeCell ref="A5:J5"/>
    <mergeCell ref="B6:D6"/>
    <mergeCell ref="H6:I6"/>
    <mergeCell ref="B7:D7"/>
    <mergeCell ref="H7:I7"/>
    <mergeCell ref="B8:D8"/>
    <mergeCell ref="H8:I8"/>
  </mergeCells>
  <pageMargins left="0.75" right="0.75" top="1" bottom="1" header="0.511811023622047" footer="0.511811023622047"/>
  <pageSetup paperSize="9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Asumsi</vt:lpstr>
      <vt:lpstr>Detail HPP</vt:lpstr>
      <vt:lpstr>Summary</vt:lpstr>
      <vt:lpstr>Fixed vs Variable Cost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fiqgant</cp:lastModifiedBy>
  <cp:revision>1</cp:revision>
  <dcterms:created xsi:type="dcterms:W3CDTF">2026-06-03T01:28:12Z</dcterms:created>
  <dcterms:modified xsi:type="dcterms:W3CDTF">2026-06-03T02:06:09Z</dcterms:modified>
  <dc:language>en-US</dc:language>
</cp:coreProperties>
</file>